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8 сессия\"/>
    </mc:Choice>
  </mc:AlternateContent>
  <bookViews>
    <workbookView xWindow="-105" yWindow="-105" windowWidth="23250" windowHeight="13170" tabRatio="715" firstSheet="2" activeTab="9"/>
  </bookViews>
  <sheets>
    <sheet name="өзгөртүүлөр бюджет" sheetId="49" state="hidden" r:id="rId1"/>
    <sheet name="өзгөртүүлөр атайын эсеп" sheetId="59" state="hidden" r:id="rId2"/>
    <sheet name="Т 1" sheetId="1" r:id="rId3"/>
    <sheet name="Кенешке сунушталган" sheetId="65" state="hidden" r:id="rId4"/>
    <sheet name="Кенешке тактоо" sheetId="67" state="hidden" r:id="rId5"/>
    <sheet name="Кенештеги акыркысы-послед" sheetId="69" state="hidden" r:id="rId6"/>
    <sheet name="Т2 бюджет" sheetId="71" r:id="rId7"/>
    <sheet name="Т3 атайын эсеп" sheetId="68" r:id="rId8"/>
    <sheet name="Т4 Штаттык бирдиктер" sheetId="74" r:id="rId9"/>
    <sheet name="Т5 Штаттык бирдик атайын эсеп" sheetId="75" r:id="rId10"/>
    <sheet name="Т4 Маалымат борбору" sheetId="73" state="hidden" r:id="rId11"/>
    <sheet name="Лист2" sheetId="66" state="hidden" r:id="rId12"/>
    <sheet name="Маданият болуму" sheetId="20" state="hidden" r:id="rId13"/>
    <sheet name="Лист1" sheetId="70" state="hidden" r:id="rId14"/>
    <sheet name="Лист4" sheetId="72" state="hidden" r:id="rId15"/>
  </sheets>
  <externalReferences>
    <externalReference r:id="rId16"/>
    <externalReference r:id="rId17"/>
  </externalReferences>
  <definedNames>
    <definedName name="_xlnm.Print_Titles" localSheetId="3">'Кенешке сунушталган'!$8:$8</definedName>
    <definedName name="_xlnm.Print_Titles" localSheetId="0">'өзгөртүүлөр бюджет'!$4:$5</definedName>
    <definedName name="_xlnm.Print_Titles" localSheetId="2">'Т 1'!$9:$11</definedName>
    <definedName name="_xlnm.Print_Titles" localSheetId="6">'Т2 бюджет'!$8:$8</definedName>
    <definedName name="об" localSheetId="2">[1]объяс.Iполугод.!#REF!</definedName>
    <definedName name="об">[1]объяс.Iполугод.!#REF!</definedName>
    <definedName name="_xlnm.Print_Area" localSheetId="6">'Т2 бюджет'!$A$1:$N$161</definedName>
    <definedName name="ололо" localSheetId="2">[2]объяс.Iполугод.!#REF!</definedName>
    <definedName name="ололо">[2]объяс.Iполугод.!#REF!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8" i="71" l="1"/>
  <c r="M119" i="71"/>
  <c r="M111" i="71" l="1"/>
  <c r="M142" i="71"/>
  <c r="Q59" i="1" l="1"/>
  <c r="Q56" i="1"/>
  <c r="Q55" i="1"/>
  <c r="Q39" i="1"/>
  <c r="Q38" i="1"/>
  <c r="Q37" i="1"/>
  <c r="Q36" i="1"/>
  <c r="Q35" i="1"/>
  <c r="Q34" i="1"/>
  <c r="Q33" i="1"/>
  <c r="Q32" i="1"/>
  <c r="Q17" i="1"/>
  <c r="Q26" i="1"/>
  <c r="Q25" i="1"/>
  <c r="Q20" i="1"/>
  <c r="Q19" i="1"/>
  <c r="Q22" i="1"/>
  <c r="M114" i="71"/>
  <c r="F24" i="75"/>
  <c r="Q24" i="75" s="1"/>
  <c r="F23" i="75"/>
  <c r="Q23" i="75" s="1"/>
  <c r="X25" i="75"/>
  <c r="V25" i="75"/>
  <c r="P25" i="75"/>
  <c r="N25" i="75"/>
  <c r="M25" i="75"/>
  <c r="L25" i="75"/>
  <c r="K25" i="75"/>
  <c r="J25" i="75"/>
  <c r="I25" i="75"/>
  <c r="H25" i="75"/>
  <c r="G25" i="75"/>
  <c r="D25" i="75"/>
  <c r="C25" i="75"/>
  <c r="O25" i="75"/>
  <c r="F22" i="75"/>
  <c r="X21" i="75"/>
  <c r="V21" i="75"/>
  <c r="M21" i="75"/>
  <c r="L21" i="75"/>
  <c r="J21" i="75"/>
  <c r="I21" i="75"/>
  <c r="G21" i="75"/>
  <c r="D21" i="75"/>
  <c r="C21" i="75"/>
  <c r="O21" i="75"/>
  <c r="F20" i="75"/>
  <c r="F19" i="75"/>
  <c r="Q19" i="75" s="1"/>
  <c r="R19" i="75" s="1"/>
  <c r="S19" i="75" s="1"/>
  <c r="F18" i="75"/>
  <c r="H18" i="75" s="1"/>
  <c r="H21" i="75" s="1"/>
  <c r="X17" i="75"/>
  <c r="V17" i="75"/>
  <c r="P17" i="75"/>
  <c r="M17" i="75"/>
  <c r="L17" i="75"/>
  <c r="K17" i="75"/>
  <c r="J17" i="75"/>
  <c r="I17" i="75"/>
  <c r="E17" i="75"/>
  <c r="D17" i="75"/>
  <c r="C17" i="75"/>
  <c r="F16" i="75"/>
  <c r="H16" i="75" s="1"/>
  <c r="F15" i="75"/>
  <c r="H15" i="75" s="1"/>
  <c r="X14" i="75"/>
  <c r="V14" i="75"/>
  <c r="P14" i="75"/>
  <c r="N14" i="75"/>
  <c r="M14" i="75"/>
  <c r="L14" i="75"/>
  <c r="K14" i="75"/>
  <c r="J14" i="75"/>
  <c r="I14" i="75"/>
  <c r="G14" i="75"/>
  <c r="E14" i="75"/>
  <c r="D14" i="75"/>
  <c r="C14" i="75"/>
  <c r="F13" i="75"/>
  <c r="H13" i="75" s="1"/>
  <c r="H14" i="75" s="1"/>
  <c r="P12" i="1"/>
  <c r="P15" i="1"/>
  <c r="X19" i="74"/>
  <c r="W19" i="74"/>
  <c r="V19" i="74"/>
  <c r="U19" i="74"/>
  <c r="T19" i="74"/>
  <c r="Q19" i="74"/>
  <c r="P19" i="74"/>
  <c r="O19" i="74"/>
  <c r="N19" i="74"/>
  <c r="M19" i="74"/>
  <c r="K19" i="74"/>
  <c r="J19" i="74"/>
  <c r="I19" i="74"/>
  <c r="H19" i="74"/>
  <c r="D19" i="74"/>
  <c r="C19" i="74"/>
  <c r="F18" i="74"/>
  <c r="R18" i="74" s="1"/>
  <c r="S18" i="74" s="1"/>
  <c r="S19" i="74" s="1"/>
  <c r="Y18" i="74" l="1"/>
  <c r="Y19" i="74" s="1"/>
  <c r="F19" i="74"/>
  <c r="Z18" i="74"/>
  <c r="Z19" i="74" s="1"/>
  <c r="N26" i="75"/>
  <c r="J26" i="75"/>
  <c r="R24" i="75"/>
  <c r="S24" i="75" s="1"/>
  <c r="R23" i="75"/>
  <c r="S23" i="75" s="1"/>
  <c r="O13" i="75"/>
  <c r="O14" i="75" s="1"/>
  <c r="C26" i="75"/>
  <c r="D26" i="75"/>
  <c r="Q20" i="75"/>
  <c r="R20" i="75" s="1"/>
  <c r="S20" i="75" s="1"/>
  <c r="M26" i="75"/>
  <c r="G26" i="75"/>
  <c r="P26" i="75"/>
  <c r="X26" i="75"/>
  <c r="L26" i="75"/>
  <c r="I26" i="75"/>
  <c r="F21" i="75"/>
  <c r="Q18" i="75"/>
  <c r="K18" i="75"/>
  <c r="K21" i="75" s="1"/>
  <c r="K26" i="75" s="1"/>
  <c r="V26" i="75"/>
  <c r="H17" i="75"/>
  <c r="H26" i="75" s="1"/>
  <c r="Q16" i="75"/>
  <c r="O16" i="75"/>
  <c r="U19" i="75"/>
  <c r="T19" i="75"/>
  <c r="W19" i="75"/>
  <c r="F25" i="75"/>
  <c r="Q22" i="75"/>
  <c r="Q25" i="75" s="1"/>
  <c r="F17" i="75"/>
  <c r="Q15" i="75"/>
  <c r="O15" i="75"/>
  <c r="Q13" i="75"/>
  <c r="Q14" i="75" s="1"/>
  <c r="F14" i="75"/>
  <c r="R19" i="74"/>
  <c r="F26" i="75" l="1"/>
  <c r="U23" i="75"/>
  <c r="T23" i="75"/>
  <c r="W23" i="75"/>
  <c r="Z23" i="75" s="1"/>
  <c r="W24" i="75"/>
  <c r="U24" i="75"/>
  <c r="T24" i="75"/>
  <c r="R13" i="75"/>
  <c r="R14" i="75" s="1"/>
  <c r="Z19" i="75"/>
  <c r="R22" i="75"/>
  <c r="S22" i="75" s="1"/>
  <c r="R16" i="75"/>
  <c r="S16" i="75" s="1"/>
  <c r="W16" i="75" s="1"/>
  <c r="T20" i="75"/>
  <c r="W20" i="75"/>
  <c r="U20" i="75"/>
  <c r="Y19" i="75"/>
  <c r="Q21" i="75"/>
  <c r="O17" i="75"/>
  <c r="O26" i="75" s="1"/>
  <c r="R18" i="75"/>
  <c r="Q17" i="75"/>
  <c r="R15" i="75"/>
  <c r="AA18" i="74"/>
  <c r="AA19" i="74" s="1"/>
  <c r="Z24" i="75" l="1"/>
  <c r="R25" i="75"/>
  <c r="Y24" i="75"/>
  <c r="Y23" i="75"/>
  <c r="AA23" i="75" s="1"/>
  <c r="S13" i="75"/>
  <c r="W13" i="75" s="1"/>
  <c r="W14" i="75" s="1"/>
  <c r="U16" i="75"/>
  <c r="Q26" i="75"/>
  <c r="T16" i="75"/>
  <c r="Z16" i="75" s="1"/>
  <c r="AA19" i="75"/>
  <c r="Y20" i="75"/>
  <c r="Z20" i="75"/>
  <c r="S18" i="75"/>
  <c r="R21" i="75"/>
  <c r="R17" i="75"/>
  <c r="S15" i="75"/>
  <c r="T22" i="75"/>
  <c r="T25" i="75" s="1"/>
  <c r="S25" i="75"/>
  <c r="U22" i="75"/>
  <c r="U25" i="75" s="1"/>
  <c r="W22" i="75"/>
  <c r="W25" i="75" s="1"/>
  <c r="AA24" i="75" l="1"/>
  <c r="S14" i="75"/>
  <c r="R26" i="75"/>
  <c r="U13" i="75"/>
  <c r="U14" i="75" s="1"/>
  <c r="T13" i="75"/>
  <c r="T14" i="75" s="1"/>
  <c r="AA20" i="75"/>
  <c r="Y16" i="75"/>
  <c r="AA16" i="75" s="1"/>
  <c r="S17" i="75"/>
  <c r="W15" i="75"/>
  <c r="W17" i="75" s="1"/>
  <c r="U15" i="75"/>
  <c r="U17" i="75" s="1"/>
  <c r="T15" i="75"/>
  <c r="T17" i="75" s="1"/>
  <c r="Y22" i="75"/>
  <c r="Z22" i="75"/>
  <c r="Z25" i="75" s="1"/>
  <c r="S21" i="75"/>
  <c r="T18" i="75"/>
  <c r="T21" i="75" s="1"/>
  <c r="W18" i="75"/>
  <c r="W21" i="75" s="1"/>
  <c r="U18" i="75"/>
  <c r="U21" i="75" s="1"/>
  <c r="Z13" i="75" l="1"/>
  <c r="Z14" i="75" s="1"/>
  <c r="W26" i="75"/>
  <c r="S26" i="75"/>
  <c r="Y13" i="75"/>
  <c r="Y14" i="75" s="1"/>
  <c r="T26" i="75"/>
  <c r="U26" i="75"/>
  <c r="Y18" i="75"/>
  <c r="Y15" i="75"/>
  <c r="Z18" i="75"/>
  <c r="Z21" i="75" s="1"/>
  <c r="AA22" i="75"/>
  <c r="AA25" i="75" s="1"/>
  <c r="Y25" i="75"/>
  <c r="Z15" i="75"/>
  <c r="Z17" i="75" s="1"/>
  <c r="AA13" i="75" l="1"/>
  <c r="AA14" i="75" s="1"/>
  <c r="Z26" i="75"/>
  <c r="Y17" i="75"/>
  <c r="AA15" i="75"/>
  <c r="AA17" i="75" s="1"/>
  <c r="AA18" i="75"/>
  <c r="AA21" i="75" s="1"/>
  <c r="Y21" i="75"/>
  <c r="Y26" i="75" l="1"/>
  <c r="AA26" i="75"/>
  <c r="P58" i="1" l="1"/>
  <c r="Q58" i="1" s="1"/>
  <c r="M125" i="71"/>
  <c r="W16" i="74"/>
  <c r="V16" i="74"/>
  <c r="U16" i="74"/>
  <c r="T16" i="74"/>
  <c r="P16" i="74"/>
  <c r="N16" i="74"/>
  <c r="K16" i="74"/>
  <c r="J16" i="74"/>
  <c r="I16" i="74"/>
  <c r="D16" i="74"/>
  <c r="C16" i="74"/>
  <c r="X15" i="74"/>
  <c r="X16" i="74" s="1"/>
  <c r="F15" i="74"/>
  <c r="F16" i="74" s="1"/>
  <c r="Q15" i="74" l="1"/>
  <c r="Q16" i="74" s="1"/>
  <c r="M15" i="74"/>
  <c r="M16" i="74" s="1"/>
  <c r="O15" i="74"/>
  <c r="O16" i="74" s="1"/>
  <c r="H15" i="74"/>
  <c r="H16" i="74" l="1"/>
  <c r="R15" i="74"/>
  <c r="S15" i="74" l="1"/>
  <c r="R16" i="74"/>
  <c r="S16" i="74" l="1"/>
  <c r="Z15" i="74"/>
  <c r="Z16" i="74" s="1"/>
  <c r="Y15" i="74"/>
  <c r="Y16" i="74" l="1"/>
  <c r="AA15" i="74"/>
  <c r="AA16" i="74" s="1"/>
  <c r="X22" i="73" l="1"/>
  <c r="V22" i="73"/>
  <c r="Q22" i="73"/>
  <c r="P22" i="73"/>
  <c r="M22" i="73"/>
  <c r="L22" i="73"/>
  <c r="K22" i="73"/>
  <c r="J22" i="73"/>
  <c r="I22" i="73"/>
  <c r="D22" i="73"/>
  <c r="F21" i="73"/>
  <c r="H21" i="73" s="1"/>
  <c r="F20" i="73"/>
  <c r="F19" i="73"/>
  <c r="F18" i="73"/>
  <c r="H18" i="73" s="1"/>
  <c r="F17" i="73"/>
  <c r="O17" i="73" s="1"/>
  <c r="F16" i="73"/>
  <c r="O16" i="73" s="1"/>
  <c r="F15" i="73"/>
  <c r="H15" i="73" s="1"/>
  <c r="F14" i="73"/>
  <c r="H14" i="73" s="1"/>
  <c r="F13" i="73"/>
  <c r="H17" i="73" l="1"/>
  <c r="R17" i="73" s="1"/>
  <c r="S17" i="73" s="1"/>
  <c r="W17" i="73" s="1"/>
  <c r="O14" i="73"/>
  <c r="R14" i="73"/>
  <c r="S14" i="73" s="1"/>
  <c r="U14" i="73" s="1"/>
  <c r="O18" i="73"/>
  <c r="R18" i="73" s="1"/>
  <c r="S18" i="73" s="1"/>
  <c r="W18" i="73" s="1"/>
  <c r="Y18" i="73" s="1"/>
  <c r="T17" i="73"/>
  <c r="U17" i="73"/>
  <c r="T14" i="73"/>
  <c r="H16" i="73"/>
  <c r="R16" i="73" s="1"/>
  <c r="S16" i="73" s="1"/>
  <c r="H13" i="73"/>
  <c r="H19" i="73"/>
  <c r="O19" i="73"/>
  <c r="F22" i="73"/>
  <c r="O15" i="73"/>
  <c r="R15" i="73" s="1"/>
  <c r="S15" i="73" s="1"/>
  <c r="O21" i="73"/>
  <c r="H20" i="73"/>
  <c r="O20" i="73"/>
  <c r="O13" i="73"/>
  <c r="W14" i="73" l="1"/>
  <c r="Z14" i="73" s="1"/>
  <c r="Z17" i="73"/>
  <c r="R20" i="73"/>
  <c r="S20" i="73" s="1"/>
  <c r="Y17" i="73"/>
  <c r="AA17" i="73"/>
  <c r="R19" i="73"/>
  <c r="S19" i="73" s="1"/>
  <c r="U19" i="73" s="1"/>
  <c r="R13" i="73"/>
  <c r="S13" i="73" s="1"/>
  <c r="W13" i="73"/>
  <c r="Z13" i="73" s="1"/>
  <c r="Y13" i="73"/>
  <c r="W20" i="73"/>
  <c r="Z20" i="73" s="1"/>
  <c r="Y20" i="73"/>
  <c r="U16" i="73"/>
  <c r="T16" i="73"/>
  <c r="W16" i="73"/>
  <c r="W15" i="73"/>
  <c r="Z15" i="73" s="1"/>
  <c r="Y14" i="73"/>
  <c r="AA14" i="73" s="1"/>
  <c r="O22" i="73"/>
  <c r="Z18" i="73"/>
  <c r="AA18" i="73" s="1"/>
  <c r="R21" i="73"/>
  <c r="H22" i="73"/>
  <c r="Z16" i="73" l="1"/>
  <c r="W19" i="73"/>
  <c r="T19" i="73"/>
  <c r="Y16" i="73"/>
  <c r="Y19" i="73"/>
  <c r="AA13" i="73"/>
  <c r="Y15" i="73"/>
  <c r="AA15" i="73" s="1"/>
  <c r="AA20" i="73"/>
  <c r="R22" i="73"/>
  <c r="S21" i="73"/>
  <c r="AA16" i="73" l="1"/>
  <c r="Z19" i="73"/>
  <c r="AA19" i="73" s="1"/>
  <c r="W21" i="73"/>
  <c r="W22" i="73" s="1"/>
  <c r="S22" i="73"/>
  <c r="T21" i="73"/>
  <c r="T22" i="73" s="1"/>
  <c r="Y21" i="73"/>
  <c r="U21" i="73"/>
  <c r="U22" i="73" s="1"/>
  <c r="Z21" i="73" l="1"/>
  <c r="Z22" i="73" s="1"/>
  <c r="Y22" i="73"/>
  <c r="M3" i="72"/>
  <c r="H109" i="71"/>
  <c r="M109" i="71" s="1"/>
  <c r="L158" i="71"/>
  <c r="K158" i="71"/>
  <c r="J158" i="71"/>
  <c r="I158" i="71"/>
  <c r="F158" i="71"/>
  <c r="E158" i="71"/>
  <c r="M155" i="71"/>
  <c r="M154" i="71"/>
  <c r="M150" i="71"/>
  <c r="M149" i="71"/>
  <c r="M148" i="71"/>
  <c r="M147" i="71"/>
  <c r="M146" i="71"/>
  <c r="M143" i="71"/>
  <c r="M141" i="71"/>
  <c r="M138" i="71"/>
  <c r="M137" i="71"/>
  <c r="M136" i="71"/>
  <c r="M135" i="71"/>
  <c r="M134" i="71"/>
  <c r="M133" i="71"/>
  <c r="M132" i="71"/>
  <c r="M131" i="71"/>
  <c r="M130" i="71"/>
  <c r="M129" i="71"/>
  <c r="M120" i="71"/>
  <c r="M116" i="71"/>
  <c r="M115" i="71"/>
  <c r="M110" i="71"/>
  <c r="M101" i="71"/>
  <c r="M100" i="71"/>
  <c r="M99" i="71"/>
  <c r="M98" i="71"/>
  <c r="M96" i="71"/>
  <c r="M95" i="71"/>
  <c r="M94" i="71"/>
  <c r="M93" i="71"/>
  <c r="M92" i="71"/>
  <c r="G91" i="71"/>
  <c r="G90" i="71"/>
  <c r="G89" i="71"/>
  <c r="G88" i="71"/>
  <c r="G87" i="71"/>
  <c r="G86" i="71"/>
  <c r="G85" i="71"/>
  <c r="G84" i="71"/>
  <c r="G83" i="71"/>
  <c r="G82" i="71"/>
  <c r="G81" i="71"/>
  <c r="G80" i="71"/>
  <c r="G79" i="71"/>
  <c r="G78" i="71"/>
  <c r="G77" i="71"/>
  <c r="G76" i="71"/>
  <c r="G75" i="71"/>
  <c r="G74" i="71"/>
  <c r="G73" i="71"/>
  <c r="G72" i="71"/>
  <c r="G71" i="71"/>
  <c r="G70" i="71"/>
  <c r="G69" i="71"/>
  <c r="G68" i="71"/>
  <c r="G67" i="71"/>
  <c r="G66" i="71"/>
  <c r="G65" i="71"/>
  <c r="G64" i="71"/>
  <c r="G63" i="71"/>
  <c r="G62" i="71"/>
  <c r="G61" i="71"/>
  <c r="G60" i="71"/>
  <c r="G59" i="71"/>
  <c r="D58" i="71"/>
  <c r="D158" i="71" s="1"/>
  <c r="G57" i="71"/>
  <c r="G56" i="71"/>
  <c r="G55" i="71"/>
  <c r="G54" i="71"/>
  <c r="G53" i="71"/>
  <c r="G52" i="71"/>
  <c r="G51" i="71"/>
  <c r="G50" i="71"/>
  <c r="G49" i="71"/>
  <c r="G48" i="71"/>
  <c r="G47" i="71"/>
  <c r="G46" i="71"/>
  <c r="G45" i="71"/>
  <c r="G44" i="71"/>
  <c r="G43" i="71"/>
  <c r="G42" i="71"/>
  <c r="G41" i="71"/>
  <c r="G40" i="71"/>
  <c r="G39" i="71"/>
  <c r="G38" i="71"/>
  <c r="G37" i="71"/>
  <c r="G36" i="71"/>
  <c r="G35" i="71"/>
  <c r="G34" i="71"/>
  <c r="G33" i="71"/>
  <c r="G32" i="71"/>
  <c r="G31" i="71"/>
  <c r="G30" i="71"/>
  <c r="G29" i="71"/>
  <c r="G28" i="71"/>
  <c r="G27" i="71"/>
  <c r="G26" i="71"/>
  <c r="G25" i="71"/>
  <c r="G24" i="71"/>
  <c r="G23" i="71"/>
  <c r="G22" i="71"/>
  <c r="G21" i="71"/>
  <c r="G20" i="71"/>
  <c r="G19" i="71"/>
  <c r="G18" i="71"/>
  <c r="G17" i="71"/>
  <c r="G16" i="71"/>
  <c r="G15" i="71"/>
  <c r="G14" i="71"/>
  <c r="G13" i="71"/>
  <c r="G12" i="71"/>
  <c r="G11" i="71"/>
  <c r="G10" i="71"/>
  <c r="E32" i="68"/>
  <c r="E26" i="68"/>
  <c r="E24" i="68"/>
  <c r="E25" i="68"/>
  <c r="E30" i="68"/>
  <c r="G6" i="70"/>
  <c r="H6" i="70"/>
  <c r="I6" i="70"/>
  <c r="J6" i="70"/>
  <c r="F6" i="70"/>
  <c r="K6" i="70"/>
  <c r="L22" i="70"/>
  <c r="L17" i="70"/>
  <c r="AA21" i="73" l="1"/>
  <c r="AA22" i="73" s="1"/>
  <c r="H158" i="71"/>
  <c r="M158" i="71"/>
  <c r="G58" i="71"/>
  <c r="G158" i="71" s="1"/>
  <c r="L6" i="70"/>
  <c r="L36" i="70" l="1"/>
  <c r="L37" i="70"/>
  <c r="L38" i="70"/>
  <c r="L39" i="70"/>
  <c r="L19" i="70"/>
  <c r="L9" i="70"/>
  <c r="L10" i="70"/>
  <c r="L11" i="70"/>
  <c r="L12" i="70"/>
  <c r="L13" i="70"/>
  <c r="L14" i="70"/>
  <c r="L15" i="70"/>
  <c r="L16" i="70"/>
  <c r="L18" i="70"/>
  <c r="L20" i="70"/>
  <c r="L21" i="70"/>
  <c r="L23" i="70"/>
  <c r="L24" i="70"/>
  <c r="L25" i="70"/>
  <c r="L26" i="70"/>
  <c r="L27" i="70"/>
  <c r="L28" i="70"/>
  <c r="L29" i="70"/>
  <c r="L30" i="70"/>
  <c r="L31" i="70"/>
  <c r="L32" i="70"/>
  <c r="L33" i="70"/>
  <c r="L34" i="70"/>
  <c r="L35" i="70"/>
  <c r="L8" i="70"/>
  <c r="L40" i="70" l="1"/>
  <c r="E34" i="68"/>
  <c r="M155" i="69"/>
  <c r="M149" i="69"/>
  <c r="E158" i="69"/>
  <c r="F158" i="69"/>
  <c r="H158" i="69"/>
  <c r="I158" i="69"/>
  <c r="J158" i="69"/>
  <c r="K158" i="69"/>
  <c r="L158" i="69"/>
  <c r="M107" i="69"/>
  <c r="M146" i="69"/>
  <c r="G156" i="69"/>
  <c r="M115" i="69"/>
  <c r="M114" i="69"/>
  <c r="M113" i="69"/>
  <c r="M112" i="69"/>
  <c r="M145" i="69"/>
  <c r="M144" i="69"/>
  <c r="M142" i="69"/>
  <c r="M141" i="69"/>
  <c r="M140" i="69"/>
  <c r="M139" i="69"/>
  <c r="M138" i="69"/>
  <c r="M137" i="69"/>
  <c r="M136" i="69"/>
  <c r="M135" i="69"/>
  <c r="M134" i="69"/>
  <c r="M154" i="69"/>
  <c r="M151" i="69"/>
  <c r="M143" i="69"/>
  <c r="M133" i="69"/>
  <c r="M132" i="69"/>
  <c r="M131" i="69"/>
  <c r="M130" i="69"/>
  <c r="M125" i="69"/>
  <c r="M122" i="69"/>
  <c r="M121" i="69"/>
  <c r="M120" i="69"/>
  <c r="M119" i="69"/>
  <c r="M103" i="69"/>
  <c r="M102" i="69"/>
  <c r="M101" i="69"/>
  <c r="M100" i="69"/>
  <c r="M99" i="69"/>
  <c r="M147" i="69"/>
  <c r="M150" i="69"/>
  <c r="M148" i="69"/>
  <c r="M106" i="69"/>
  <c r="M105" i="69"/>
  <c r="M104" i="69"/>
  <c r="G98" i="69"/>
  <c r="G97" i="69"/>
  <c r="G96" i="69"/>
  <c r="G95" i="69"/>
  <c r="G94" i="69"/>
  <c r="G93" i="69"/>
  <c r="G92" i="69"/>
  <c r="G91" i="69"/>
  <c r="G90" i="69"/>
  <c r="G89" i="69"/>
  <c r="G88" i="69"/>
  <c r="G87" i="69"/>
  <c r="G86" i="69"/>
  <c r="G85" i="69"/>
  <c r="G84" i="69"/>
  <c r="G83" i="69"/>
  <c r="G82" i="69"/>
  <c r="G81" i="69"/>
  <c r="G80" i="69"/>
  <c r="G79" i="69"/>
  <c r="G78" i="69"/>
  <c r="G77" i="69"/>
  <c r="G76" i="69"/>
  <c r="G75" i="69"/>
  <c r="G74" i="69"/>
  <c r="G73" i="69"/>
  <c r="G72" i="69"/>
  <c r="G71" i="69"/>
  <c r="G70" i="69"/>
  <c r="G69" i="69"/>
  <c r="G68" i="69"/>
  <c r="G67" i="69"/>
  <c r="G66" i="69"/>
  <c r="G65" i="69"/>
  <c r="G64" i="69"/>
  <c r="G63" i="69"/>
  <c r="G62" i="69"/>
  <c r="G61" i="69"/>
  <c r="G60" i="69"/>
  <c r="G59" i="69"/>
  <c r="D58" i="69"/>
  <c r="G57" i="69"/>
  <c r="G56" i="69"/>
  <c r="G55" i="69"/>
  <c r="G54" i="69"/>
  <c r="G53" i="69"/>
  <c r="G52" i="69"/>
  <c r="G51" i="69"/>
  <c r="G50" i="69"/>
  <c r="G49" i="69"/>
  <c r="G48" i="69"/>
  <c r="G47" i="69"/>
  <c r="G46" i="69"/>
  <c r="G45" i="69"/>
  <c r="G44" i="69"/>
  <c r="G43" i="69"/>
  <c r="G42" i="69"/>
  <c r="G41" i="69"/>
  <c r="G40" i="69"/>
  <c r="G39" i="69"/>
  <c r="G38" i="69"/>
  <c r="G37" i="69"/>
  <c r="G36" i="69"/>
  <c r="G35" i="69"/>
  <c r="G34" i="69"/>
  <c r="G33" i="69"/>
  <c r="G32" i="69"/>
  <c r="G31" i="69"/>
  <c r="G30" i="69"/>
  <c r="G29" i="69"/>
  <c r="G28" i="69"/>
  <c r="G27" i="69"/>
  <c r="G26" i="69"/>
  <c r="G25" i="69"/>
  <c r="G24" i="69"/>
  <c r="G23" i="69"/>
  <c r="G22" i="69"/>
  <c r="G21" i="69"/>
  <c r="G20" i="69"/>
  <c r="G19" i="69"/>
  <c r="G18" i="69"/>
  <c r="G17" i="69"/>
  <c r="G16" i="69"/>
  <c r="G15" i="69"/>
  <c r="G14" i="69"/>
  <c r="G13" i="69"/>
  <c r="G12" i="69"/>
  <c r="G11" i="69"/>
  <c r="G10" i="69"/>
  <c r="M137" i="67"/>
  <c r="M135" i="67"/>
  <c r="M136" i="67"/>
  <c r="G11" i="67"/>
  <c r="G12" i="67"/>
  <c r="G13" i="67"/>
  <c r="G14" i="67"/>
  <c r="G15" i="67"/>
  <c r="G16" i="67"/>
  <c r="G17" i="67"/>
  <c r="G18" i="67"/>
  <c r="G19" i="67"/>
  <c r="G20" i="67"/>
  <c r="G21" i="67"/>
  <c r="G22" i="67"/>
  <c r="G23" i="67"/>
  <c r="G24" i="67"/>
  <c r="G25" i="67"/>
  <c r="G26" i="67"/>
  <c r="G27" i="67"/>
  <c r="G28" i="67"/>
  <c r="G29" i="67"/>
  <c r="G30" i="67"/>
  <c r="G31" i="67"/>
  <c r="G32" i="67"/>
  <c r="G33" i="67"/>
  <c r="G34" i="67"/>
  <c r="G35" i="67"/>
  <c r="G36" i="67"/>
  <c r="G37" i="67"/>
  <c r="G38" i="67"/>
  <c r="G39" i="67"/>
  <c r="G40" i="67"/>
  <c r="G41" i="67"/>
  <c r="G42" i="67"/>
  <c r="G43" i="67"/>
  <c r="G44" i="67"/>
  <c r="G45" i="67"/>
  <c r="G46" i="67"/>
  <c r="G47" i="67"/>
  <c r="G48" i="67"/>
  <c r="G49" i="67"/>
  <c r="G50" i="67"/>
  <c r="G51" i="67"/>
  <c r="G52" i="67"/>
  <c r="G53" i="67"/>
  <c r="G54" i="67"/>
  <c r="G55" i="67"/>
  <c r="G56" i="67"/>
  <c r="G57" i="67"/>
  <c r="G59" i="67"/>
  <c r="G60" i="67"/>
  <c r="G61" i="67"/>
  <c r="G62" i="67"/>
  <c r="G63" i="67"/>
  <c r="G64" i="67"/>
  <c r="G65" i="67"/>
  <c r="G66" i="67"/>
  <c r="G67" i="67"/>
  <c r="G68" i="67"/>
  <c r="G69" i="67"/>
  <c r="G70" i="67"/>
  <c r="G71" i="67"/>
  <c r="G72" i="67"/>
  <c r="G73" i="67"/>
  <c r="G74" i="67"/>
  <c r="G75" i="67"/>
  <c r="G76" i="67"/>
  <c r="G77" i="67"/>
  <c r="G78" i="67"/>
  <c r="G79" i="67"/>
  <c r="G80" i="67"/>
  <c r="G81" i="67"/>
  <c r="G82" i="67"/>
  <c r="G83" i="67"/>
  <c r="G84" i="67"/>
  <c r="G85" i="67"/>
  <c r="G86" i="67"/>
  <c r="G87" i="67"/>
  <c r="G88" i="67"/>
  <c r="G89" i="67"/>
  <c r="G90" i="67"/>
  <c r="G91" i="67"/>
  <c r="G92" i="67"/>
  <c r="G93" i="67"/>
  <c r="G94" i="67"/>
  <c r="G95" i="67"/>
  <c r="G96" i="67"/>
  <c r="G97" i="67"/>
  <c r="G98" i="67"/>
  <c r="G99" i="67"/>
  <c r="G100" i="67"/>
  <c r="G101" i="67"/>
  <c r="G102" i="67"/>
  <c r="G103" i="67"/>
  <c r="G104" i="67"/>
  <c r="G105" i="67"/>
  <c r="G106" i="67"/>
  <c r="G107" i="67"/>
  <c r="G108" i="67"/>
  <c r="G109" i="67"/>
  <c r="G110" i="67"/>
  <c r="G111" i="67"/>
  <c r="G112" i="67"/>
  <c r="G113" i="67"/>
  <c r="G114" i="67"/>
  <c r="G115" i="67"/>
  <c r="G116" i="67"/>
  <c r="G117" i="67"/>
  <c r="G118" i="67"/>
  <c r="G119" i="67"/>
  <c r="G120" i="67"/>
  <c r="G121" i="67"/>
  <c r="G122" i="67"/>
  <c r="G123" i="67"/>
  <c r="G124" i="67"/>
  <c r="G125" i="67"/>
  <c r="G126" i="67"/>
  <c r="G127" i="67"/>
  <c r="G128" i="67"/>
  <c r="G129" i="67"/>
  <c r="G130" i="67"/>
  <c r="G131" i="67"/>
  <c r="G132" i="67"/>
  <c r="G133" i="67"/>
  <c r="G134" i="67"/>
  <c r="G138" i="67"/>
  <c r="G10" i="67"/>
  <c r="F140" i="67"/>
  <c r="M100" i="67"/>
  <c r="M101" i="67"/>
  <c r="M102" i="67"/>
  <c r="M103" i="67"/>
  <c r="M104" i="67"/>
  <c r="M105" i="67"/>
  <c r="M106" i="67"/>
  <c r="M107" i="67"/>
  <c r="M108" i="67"/>
  <c r="M109" i="67"/>
  <c r="M110" i="67"/>
  <c r="M111" i="67"/>
  <c r="M112" i="67"/>
  <c r="M113" i="67"/>
  <c r="M114" i="67"/>
  <c r="M115" i="67"/>
  <c r="M116" i="67"/>
  <c r="M117" i="67"/>
  <c r="M118" i="67"/>
  <c r="M119" i="67"/>
  <c r="M120" i="67"/>
  <c r="M121" i="67"/>
  <c r="M122" i="67"/>
  <c r="M123" i="67"/>
  <c r="M124" i="67"/>
  <c r="M125" i="67"/>
  <c r="M126" i="67"/>
  <c r="M127" i="67"/>
  <c r="M128" i="67"/>
  <c r="M129" i="67"/>
  <c r="M130" i="67"/>
  <c r="M131" i="67"/>
  <c r="M132" i="67"/>
  <c r="M133" i="67"/>
  <c r="M134" i="67"/>
  <c r="M139" i="67"/>
  <c r="M99" i="67"/>
  <c r="M158" i="69" l="1"/>
  <c r="D158" i="69"/>
  <c r="G58" i="69"/>
  <c r="I140" i="67"/>
  <c r="E140" i="67"/>
  <c r="I34" i="68"/>
  <c r="H34" i="68"/>
  <c r="G34" i="68"/>
  <c r="F34" i="68"/>
  <c r="D34" i="68"/>
  <c r="G158" i="69" l="1"/>
  <c r="M140" i="67"/>
  <c r="L140" i="67"/>
  <c r="K140" i="67"/>
  <c r="J140" i="67"/>
  <c r="H140" i="67"/>
  <c r="D58" i="67"/>
  <c r="I134" i="66"/>
  <c r="H134" i="66"/>
  <c r="G134" i="66"/>
  <c r="F134" i="66"/>
  <c r="E134" i="66"/>
  <c r="D72" i="66"/>
  <c r="D134" i="66" s="1"/>
  <c r="H133" i="65"/>
  <c r="G133" i="65"/>
  <c r="F133" i="65"/>
  <c r="E133" i="65"/>
  <c r="I133" i="65"/>
  <c r="D55" i="65"/>
  <c r="D140" i="67" l="1"/>
  <c r="G58" i="67"/>
  <c r="G140" i="67" s="1"/>
  <c r="D133" i="65"/>
  <c r="Q15" i="1" l="1"/>
  <c r="Q23" i="1"/>
  <c r="P60" i="1"/>
  <c r="P52" i="1"/>
  <c r="P31" i="1"/>
  <c r="P29" i="1"/>
  <c r="P18" i="1"/>
  <c r="P30" i="1" l="1"/>
  <c r="P53" i="1" s="1"/>
  <c r="J49" i="49"/>
  <c r="K115" i="49"/>
  <c r="J115" i="49"/>
  <c r="K111" i="49"/>
  <c r="J111" i="49"/>
  <c r="J106" i="49"/>
  <c r="K105" i="49"/>
  <c r="K104" i="49"/>
  <c r="K100" i="49"/>
  <c r="K96" i="49"/>
  <c r="K89" i="49"/>
  <c r="J89" i="49"/>
  <c r="K73" i="49"/>
  <c r="K67" i="49"/>
  <c r="J63" i="49"/>
  <c r="K54" i="49"/>
  <c r="J54" i="49"/>
  <c r="K37" i="49"/>
  <c r="J37" i="49"/>
  <c r="J27" i="49"/>
  <c r="K26" i="49"/>
  <c r="K23" i="49"/>
  <c r="J23" i="49"/>
  <c r="K21" i="49"/>
  <c r="K18" i="49"/>
  <c r="J18" i="49"/>
  <c r="J14" i="49"/>
  <c r="K12" i="49"/>
  <c r="J12" i="49"/>
  <c r="E73" i="49"/>
  <c r="J73" i="49" s="1"/>
  <c r="P62" i="1" l="1"/>
  <c r="L23" i="49"/>
  <c r="L111" i="49"/>
  <c r="L18" i="49"/>
  <c r="L37" i="49"/>
  <c r="L115" i="49"/>
  <c r="L54" i="49"/>
  <c r="L89" i="49"/>
  <c r="L73" i="49"/>
  <c r="L12" i="49"/>
  <c r="M31" i="1"/>
  <c r="M52" i="1" s="1"/>
  <c r="O12" i="1"/>
  <c r="Q12" i="1" s="1"/>
  <c r="F48" i="49"/>
  <c r="F44" i="49"/>
  <c r="F18" i="59" l="1"/>
  <c r="G18" i="59"/>
  <c r="H18" i="59"/>
  <c r="I18" i="59"/>
  <c r="E18" i="59"/>
  <c r="D18" i="59"/>
  <c r="F58" i="49"/>
  <c r="K63" i="49" s="1"/>
  <c r="L63" i="49" s="1"/>
  <c r="F47" i="49"/>
  <c r="F119" i="49" l="1"/>
  <c r="K49" i="49"/>
  <c r="K119" i="49" s="1"/>
  <c r="D119" i="49"/>
  <c r="N18" i="59"/>
  <c r="E91" i="49"/>
  <c r="E90" i="49"/>
  <c r="J96" i="49" l="1"/>
  <c r="J119" i="49" s="1"/>
  <c r="L119" i="49" s="1"/>
  <c r="L49" i="49"/>
  <c r="E119" i="49"/>
  <c r="F120" i="49" s="1"/>
  <c r="C123" i="49"/>
  <c r="E19" i="59"/>
  <c r="M18" i="59"/>
  <c r="G19" i="59"/>
  <c r="I19" i="59"/>
  <c r="L96" i="49" l="1"/>
  <c r="C122" i="49"/>
  <c r="G119" i="49" l="1"/>
  <c r="M61" i="1" l="1"/>
  <c r="L61" i="1"/>
  <c r="N60" i="1"/>
  <c r="M60" i="1"/>
  <c r="L60" i="1"/>
  <c r="K60" i="1"/>
  <c r="J60" i="1"/>
  <c r="I60" i="1"/>
  <c r="H60" i="1"/>
  <c r="F60" i="1"/>
  <c r="E60" i="1"/>
  <c r="S58" i="1"/>
  <c r="S60" i="1" s="1"/>
  <c r="R58" i="1"/>
  <c r="R60" i="1" s="1"/>
  <c r="O60" i="1"/>
  <c r="Q60" i="1" s="1"/>
  <c r="G58" i="1"/>
  <c r="G55" i="1"/>
  <c r="O52" i="1"/>
  <c r="Q52" i="1" s="1"/>
  <c r="N52" i="1"/>
  <c r="L52" i="1"/>
  <c r="K52" i="1"/>
  <c r="J52" i="1"/>
  <c r="H52" i="1"/>
  <c r="E40" i="1"/>
  <c r="E39" i="1"/>
  <c r="E38" i="1"/>
  <c r="E37" i="1"/>
  <c r="S34" i="1"/>
  <c r="R34" i="1"/>
  <c r="G34" i="1"/>
  <c r="S33" i="1"/>
  <c r="R33" i="1"/>
  <c r="I33" i="1"/>
  <c r="G33" i="1"/>
  <c r="E33" i="1"/>
  <c r="I32" i="1"/>
  <c r="G32" i="1"/>
  <c r="F32" i="1"/>
  <c r="F31" i="1" s="1"/>
  <c r="E32" i="1"/>
  <c r="O31" i="1"/>
  <c r="Q31" i="1" s="1"/>
  <c r="L31" i="1"/>
  <c r="K31" i="1"/>
  <c r="J31" i="1"/>
  <c r="H31" i="1"/>
  <c r="S29" i="1"/>
  <c r="R29" i="1"/>
  <c r="L29" i="1"/>
  <c r="K29" i="1"/>
  <c r="J29" i="1"/>
  <c r="I29" i="1"/>
  <c r="H29" i="1"/>
  <c r="E25" i="1"/>
  <c r="E29" i="1" s="1"/>
  <c r="G23" i="1"/>
  <c r="O29" i="1"/>
  <c r="Q29" i="1" s="1"/>
  <c r="N22" i="1"/>
  <c r="N29" i="1" s="1"/>
  <c r="M22" i="1"/>
  <c r="M29" i="1" s="1"/>
  <c r="I22" i="1"/>
  <c r="G22" i="1"/>
  <c r="F22" i="1"/>
  <c r="F29" i="1" s="1"/>
  <c r="S18" i="1"/>
  <c r="R18" i="1"/>
  <c r="N18" i="1"/>
  <c r="L18" i="1"/>
  <c r="K18" i="1"/>
  <c r="J18" i="1"/>
  <c r="M17" i="1"/>
  <c r="I17" i="1"/>
  <c r="F17" i="1"/>
  <c r="I14" i="1"/>
  <c r="H14" i="1"/>
  <c r="H18" i="1" s="1"/>
  <c r="G14" i="1"/>
  <c r="E14" i="1"/>
  <c r="G13" i="1"/>
  <c r="E13" i="1"/>
  <c r="O18" i="1"/>
  <c r="Q18" i="1" s="1"/>
  <c r="M12" i="1"/>
  <c r="I12" i="1"/>
  <c r="F12" i="1"/>
  <c r="F18" i="1" s="1"/>
  <c r="M18" i="1" l="1"/>
  <c r="M30" i="1" s="1"/>
  <c r="M53" i="1" s="1"/>
  <c r="M62" i="1" s="1"/>
  <c r="R31" i="1"/>
  <c r="G18" i="1"/>
  <c r="L30" i="1"/>
  <c r="L53" i="1" s="1"/>
  <c r="L62" i="1" s="1"/>
  <c r="E52" i="1"/>
  <c r="I18" i="1"/>
  <c r="I30" i="1" s="1"/>
  <c r="F30" i="1"/>
  <c r="R52" i="1"/>
  <c r="E18" i="1"/>
  <c r="E30" i="1" s="1"/>
  <c r="G29" i="1"/>
  <c r="G52" i="1"/>
  <c r="I31" i="1"/>
  <c r="S52" i="1"/>
  <c r="G60" i="1"/>
  <c r="S30" i="1"/>
  <c r="G31" i="1"/>
  <c r="H30" i="1"/>
  <c r="H53" i="1" s="1"/>
  <c r="H62" i="1" s="1"/>
  <c r="N30" i="1"/>
  <c r="N53" i="1" s="1"/>
  <c r="N62" i="1" s="1"/>
  <c r="K30" i="1"/>
  <c r="K53" i="1" s="1"/>
  <c r="K62" i="1" s="1"/>
  <c r="R30" i="1"/>
  <c r="J30" i="1"/>
  <c r="J53" i="1" s="1"/>
  <c r="J62" i="1" s="1"/>
  <c r="O30" i="1"/>
  <c r="S31" i="1"/>
  <c r="E31" i="1"/>
  <c r="F52" i="1"/>
  <c r="I52" i="1"/>
  <c r="F53" i="1" l="1"/>
  <c r="F62" i="1" s="1"/>
  <c r="G30" i="1"/>
  <c r="G53" i="1" s="1"/>
  <c r="G62" i="1" s="1"/>
  <c r="O53" i="1"/>
  <c r="Q53" i="1" s="1"/>
  <c r="Q30" i="1"/>
  <c r="E53" i="1"/>
  <c r="E62" i="1" s="1"/>
  <c r="R53" i="1"/>
  <c r="R62" i="1" s="1"/>
  <c r="S53" i="1"/>
  <c r="S62" i="1" s="1"/>
  <c r="I53" i="1"/>
  <c r="I62" i="1" s="1"/>
  <c r="O62" i="1" l="1"/>
  <c r="Q62" i="1" s="1"/>
  <c r="H119" i="49"/>
  <c r="H120" i="49" s="1"/>
  <c r="C14" i="20" l="1"/>
  <c r="P14" i="20" l="1"/>
  <c r="O14" i="20"/>
  <c r="N14" i="20"/>
  <c r="K14" i="20"/>
  <c r="H13" i="20"/>
  <c r="M13" i="20" s="1"/>
  <c r="H12" i="20"/>
  <c r="M12" i="20" s="1"/>
  <c r="J12" i="20" l="1"/>
  <c r="Q12" i="20" s="1"/>
  <c r="T12" i="20" s="1"/>
  <c r="J13" i="20"/>
  <c r="Q13" i="20" s="1"/>
  <c r="M14" i="20"/>
  <c r="H14" i="20"/>
  <c r="R13" i="20" l="1"/>
  <c r="S13" i="20" s="1"/>
  <c r="T13" i="20"/>
  <c r="Z13" i="20" s="1"/>
  <c r="Z12" i="20"/>
  <c r="J14" i="20"/>
  <c r="R12" i="20"/>
  <c r="S12" i="20" s="1"/>
  <c r="Y12" i="20" s="1"/>
  <c r="Q14" i="20"/>
  <c r="S15" i="20" s="1"/>
  <c r="S16" i="20" s="1"/>
  <c r="T14" i="20" l="1"/>
  <c r="Z14" i="20"/>
  <c r="Y13" i="20"/>
  <c r="Y14" i="20" s="1"/>
  <c r="S14" i="20"/>
  <c r="R14" i="20"/>
  <c r="V14" i="20" l="1"/>
</calcChain>
</file>

<file path=xl/comments1.xml><?xml version="1.0" encoding="utf-8"?>
<comments xmlns="http://schemas.openxmlformats.org/spreadsheetml/2006/main">
  <authors>
    <author>Nurbek Haitkulov</author>
  </authors>
  <commentList>
    <comment ref="F13" authorId="0" shapeId="0">
      <text>
        <r>
          <rPr>
            <b/>
            <sz val="9"/>
            <color indexed="81"/>
            <rFont val="Tahoma"/>
            <family val="2"/>
            <charset val="204"/>
          </rPr>
          <t>Nurbek Haitkulov:</t>
        </r>
        <r>
          <rPr>
            <sz val="9"/>
            <color indexed="81"/>
            <rFont val="Tahoma"/>
            <family val="2"/>
            <charset val="204"/>
          </rPr>
          <t xml:space="preserve">
1087,9  - исправление на добровольный патент</t>
        </r>
      </text>
    </comment>
  </commentList>
</comments>
</file>

<file path=xl/sharedStrings.xml><?xml version="1.0" encoding="utf-8"?>
<sst xmlns="http://schemas.openxmlformats.org/spreadsheetml/2006/main" count="1147" uniqueCount="438">
  <si>
    <t>Шаардык   кеңештин</t>
  </si>
  <si>
    <t>№ 1-тиркеме</t>
  </si>
  <si>
    <t>№</t>
  </si>
  <si>
    <t>Элемент
(8)</t>
  </si>
  <si>
    <t xml:space="preserve">Киреше  булактарынын аттары. </t>
  </si>
  <si>
    <t>%</t>
  </si>
  <si>
    <t>Роялти</t>
  </si>
  <si>
    <t>Жалпы мамлекеттик салыктардын жыйынтыгы</t>
  </si>
  <si>
    <t>Бекитилген кирешелердин жыйынтыгы</t>
  </si>
  <si>
    <t>Салык кызматтары аркылуу чогултулган киреше</t>
  </si>
  <si>
    <t>Курулуш базарынан тушуучу киреше</t>
  </si>
  <si>
    <t>Шаардык мэрия, муниципалдык МБК жана керек-жарак департаменти аркылуу чогултулган жыйымдар жана толомдор</t>
  </si>
  <si>
    <t xml:space="preserve">Жалпы салык жана салык эмес  кирешелер </t>
  </si>
  <si>
    <t>Атайын төлөмдөрдөн түшүүчү кирешелер</t>
  </si>
  <si>
    <t>Шаардык кенештин жооптуу катчысы                                          Б.Беркбаева</t>
  </si>
  <si>
    <t>Шаардык кенеш</t>
  </si>
  <si>
    <t>Капиталдык курулуш департаменти</t>
  </si>
  <si>
    <t>Коммуналдык чарба департаменти</t>
  </si>
  <si>
    <t>Жашылдандыруу чарбасы</t>
  </si>
  <si>
    <t>Маданият сарайы</t>
  </si>
  <si>
    <t>Музей</t>
  </si>
  <si>
    <t>ФОК</t>
  </si>
  <si>
    <t>Мектептер</t>
  </si>
  <si>
    <t>Кайрымдуулук борбору</t>
  </si>
  <si>
    <t>№  _____ -токтомуна</t>
  </si>
  <si>
    <t>Мекеменин аталыша</t>
  </si>
  <si>
    <t>Кыскартылуучу
сумма</t>
  </si>
  <si>
    <t>Кошумча суралган 
сумма</t>
  </si>
  <si>
    <t>Муниципалдык менчик башкармалыгы</t>
  </si>
  <si>
    <t>____/______/2018-жылдагы</t>
  </si>
  <si>
    <t>_______ - сессиясынын</t>
  </si>
  <si>
    <t>Кызматтын аталышы</t>
  </si>
  <si>
    <t>Бирдиктердин саны</t>
  </si>
  <si>
    <t>Базалык ставка</t>
  </si>
  <si>
    <t>Коэф</t>
  </si>
  <si>
    <t>Түзөтүүчү коэф-т</t>
  </si>
  <si>
    <t>Кызматтык маяна</t>
  </si>
  <si>
    <t>Мамлекеттик (муницип.) стаж</t>
  </si>
  <si>
    <t>Класстык чин</t>
  </si>
  <si>
    <t>Шаардык кенештен кошулган үстөктөр</t>
  </si>
  <si>
    <t>КР Окмоту тарабынан кошулуучу болок устоктор</t>
  </si>
  <si>
    <t>Бир айлык эмгек акы 
(бир кишиге)</t>
  </si>
  <si>
    <t>Бир айлык эмгек акы
(бардыгына)</t>
  </si>
  <si>
    <t>Бир жылга 
эсеп</t>
  </si>
  <si>
    <t>сумма</t>
  </si>
  <si>
    <t>Башкы адис</t>
  </si>
  <si>
    <t>Жалпы жоопту кызматкерлер</t>
  </si>
  <si>
    <t>№  7 - тиркеме</t>
  </si>
  <si>
    <t>Ш. кенештин токтом-н негзиндеги устоктор</t>
  </si>
  <si>
    <t>жан коэфцент</t>
  </si>
  <si>
    <t>Ыйгарылган кадам</t>
  </si>
  <si>
    <t>Жалал-Абад шаарынын  маданият болумунун   штаттык ырааттамасы</t>
  </si>
  <si>
    <t>Жетекчи</t>
  </si>
  <si>
    <t>2020-жылга бекитилген план</t>
  </si>
  <si>
    <t xml:space="preserve"> </t>
  </si>
  <si>
    <t>Кызмат көрсөтүүнүн башка классификацияланбаган түрлөрү үчүн акы</t>
  </si>
  <si>
    <t>Учурдагы жардам</t>
  </si>
  <si>
    <t>Атайын төлөмдөрдөн түшүүчү кирешелердин жыйынтыгы</t>
  </si>
  <si>
    <t>Жалпы кирешелер жана атайын төлөмдөр</t>
  </si>
  <si>
    <t>Мектепке чейинки жана мектеп мекемелерине кошумча кызмат көрсөтүү акысы</t>
  </si>
  <si>
    <t>Мамлекеттин пайдасына айлантылган кирешелер</t>
  </si>
  <si>
    <t>____/_____/2021-жылдагы</t>
  </si>
  <si>
    <t>2020-жылга факт</t>
  </si>
  <si>
    <t>Милдеттүү патенттин негизинде салык</t>
  </si>
  <si>
    <t>Ыктыярдуу патенттин негизинде салык</t>
  </si>
  <si>
    <t>Чакан ишкердик субьекттери үчүн бирдиктүү салык</t>
  </si>
  <si>
    <t>3-топтогу ишкердик иши үчүн пайдаланылган кыймылсыз мүлккө салык</t>
  </si>
  <si>
    <t>Кыймылдуу мүлккө салык (транспорттук каражаттарга)</t>
  </si>
  <si>
    <t>Калктуу пункттардын таштандысын чыгаруу үчүн жыйым</t>
  </si>
  <si>
    <t>Калктуу конуштарда жер ижарасы үчүн акы, анын ичинен:</t>
  </si>
  <si>
    <t>Муниципалдык менчикте турган жайлардын, имараттардын, курулмалардын, жабдуулардын жана техникалардын ижара акысы</t>
  </si>
  <si>
    <t>Автотранспортту парковкалоо жана автотоктотмо үчүн жыйымдар</t>
  </si>
  <si>
    <t>Алкоголдук продукцияны сатууга лицензия алган субъекттерден этил спирттин жана алкоголдук продукцияны өндүрүү жана жүгүртүү боюнча ишти ишке ашыруу үчүн жыйым</t>
  </si>
  <si>
    <t>Контролдук-көзөмөл чараларын жүргүзүүдөн түшүүлөр</t>
  </si>
  <si>
    <t>Экономикалык кылмыштар боюнча келтирилген зыяндын ордун толтуруу</t>
  </si>
  <si>
    <t>Жеңил автомобилдерди сатуу</t>
  </si>
  <si>
    <t>Жук ташуучу машиналарды сатуу</t>
  </si>
  <si>
    <t>Башка транспорт каражаттарын сатуу</t>
  </si>
  <si>
    <t>2021-жылга бекитилген план</t>
  </si>
  <si>
    <t>2021-жылга такталган план</t>
  </si>
  <si>
    <t>2021-жылга факт</t>
  </si>
  <si>
    <t xml:space="preserve">2024-жылга божомол </t>
  </si>
  <si>
    <t xml:space="preserve">Шаардык муниципалдык менчик башкармалыгы </t>
  </si>
  <si>
    <t>Шаардык керек-жарак рыногу жана кызмат корсотуу департаменти</t>
  </si>
  <si>
    <t>Айыл чарбасына жарактуу жерлердин мамлекеттик фондунун жерлерин иштетүү үчүн ижара акысы (ФПЗ)</t>
  </si>
  <si>
    <t>Жер казынасын пайдалануу укугуна лицензияны кармоо үчүн акы</t>
  </si>
  <si>
    <t>Институционалдык имаратарды сатуу</t>
  </si>
  <si>
    <t>Башка имараттарды сатуу</t>
  </si>
  <si>
    <t>Классификацияланбаган билим берүү жана маданият кызмат көрсөт. үчүн акы</t>
  </si>
  <si>
    <t xml:space="preserve">Маалымат берүү жана басып чыгаруу  боюнча классификацияланбаган кызмат көрсөтүүлөр акысы </t>
  </si>
  <si>
    <t>Сессияда кошулган</t>
  </si>
  <si>
    <t>Сессияда кыскарган</t>
  </si>
  <si>
    <t>2023-жылга  Жалал-Абад  шаарынын  шаардык бюджетинин кирешелер боюнча долбоору жана 2024-2025 жылдарга божомолу</t>
  </si>
  <si>
    <t>2022-жылга бекитилген план</t>
  </si>
  <si>
    <t>2022-жылга такталган план</t>
  </si>
  <si>
    <t>2022-жылга ФМ тарабынан такталган план</t>
  </si>
  <si>
    <t>2022-жылга факт</t>
  </si>
  <si>
    <t xml:space="preserve">2025-жылга божомол </t>
  </si>
  <si>
    <t>Кыргыз Республикасынын резиденттери-жеке жактардан алынуучу киреше салыгы</t>
  </si>
  <si>
    <t>Патенттин негизинде салык</t>
  </si>
  <si>
    <t>Турак жайга же жайга мүлк салыгы</t>
  </si>
  <si>
    <t>Турак жай эмес имаратка жана жайга мүлк салыгы</t>
  </si>
  <si>
    <t>Жанаша, короо жай жана багбанчылык-огород жер участокторуна мүлк салыгы</t>
  </si>
  <si>
    <t>Айыл чарба жерлерине тиешелүү жерлерге мүлк салыгы</t>
  </si>
  <si>
    <t>Калктуу конуштардын жерлерине жана айыл чарба багытында болбогон жерлерге мүлк салыгы</t>
  </si>
  <si>
    <t>Жергиликтуу бюджеттин башка жана болок салыктары</t>
  </si>
  <si>
    <t>Жаны муниципалдык базар</t>
  </si>
  <si>
    <t>Жайыт жерлерди пайдалануу үчүн жыйым</t>
  </si>
  <si>
    <r>
      <t>Дагы башка төлөмдөр</t>
    </r>
    <r>
      <rPr>
        <sz val="9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(Сертификаттарды жана башка уруксат беруучу документтердин акысы)</t>
    </r>
  </si>
  <si>
    <t>Айыптар</t>
  </si>
  <si>
    <t>Республикалык бюджеттен тушуучу каражат (максаттуу трансферттер)</t>
  </si>
  <si>
    <t>Шаардык кенештин жооптуу катчысы                                          О. Эшенкулов</t>
  </si>
  <si>
    <t xml:space="preserve">Жалал-Абад шаарынын 2023-жылга шаардык кенешке сунушталган долбооруна өзгөртүүлөр тизмеси
</t>
  </si>
  <si>
    <t>Статья</t>
  </si>
  <si>
    <t>Иш чаранын аталышы</t>
  </si>
  <si>
    <t>Т.Тайгараев а/б</t>
  </si>
  <si>
    <t>Тазалык мекемеси</t>
  </si>
  <si>
    <t>Спутник А/Б</t>
  </si>
  <si>
    <t>Психолог адисин 0,5 ставкага кыскартуу</t>
  </si>
  <si>
    <t>Жайыт комитетинен кыскартуу</t>
  </si>
  <si>
    <t>Президенттин иш-чараларын аткаруусуна жана жаңы жылга каралган каражат</t>
  </si>
  <si>
    <t>Дене тарбия жана спорт</t>
  </si>
  <si>
    <t>Электр энергиядан кыскартуу</t>
  </si>
  <si>
    <t>Мэрия</t>
  </si>
  <si>
    <t>Эко фонд эсебинен алып келинген техникаларды каттоо</t>
  </si>
  <si>
    <t>Соц фонд экономия</t>
  </si>
  <si>
    <t>Ардагерлер кенеши</t>
  </si>
  <si>
    <t>Даараткана кыскартылып, ордуна компьютер алуу</t>
  </si>
  <si>
    <t>Жылытуу системасына каралган каражаттын статьясын оңдоо</t>
  </si>
  <si>
    <t>Транспорттук чыгымдарды кыскартуу</t>
  </si>
  <si>
    <t>Спринтер сатып алууга бөлүнгөн сумманы кыскартуу</t>
  </si>
  <si>
    <t>Насыяны төлөөгө</t>
  </si>
  <si>
    <t>Долбоорлорду даярдоо</t>
  </si>
  <si>
    <t>КЖРжККД (соода департ)</t>
  </si>
  <si>
    <t>Эмгек акы (техникалык ката)</t>
  </si>
  <si>
    <t>30% шаардык кеңештен кошулуучу үстөк</t>
  </si>
  <si>
    <t>Мисте токоюна токойчу кызматкерин кыскартуу</t>
  </si>
  <si>
    <t>Автоунаанын шиналарына</t>
  </si>
  <si>
    <t>Компьютер алууга</t>
  </si>
  <si>
    <t>Маалымат борбору</t>
  </si>
  <si>
    <t>Бензин, тетиктерге</t>
  </si>
  <si>
    <t>ЛЭД экран үчүн сандык</t>
  </si>
  <si>
    <t>Алтын-Балалык лагери</t>
  </si>
  <si>
    <t>2111 - 116,9 миң сом, 2121 - 20,1 миң сом, жалпы 137,0 миң сом 1 ставкага өткөндүгүнө байланыштуу</t>
  </si>
  <si>
    <t>4 штаттык бирдикти кыскартуу, электрик кызматкеринин категориясы</t>
  </si>
  <si>
    <t>Спорт иш-чаралары</t>
  </si>
  <si>
    <t>Бала бакчалар</t>
  </si>
  <si>
    <t>Мектептен сырткары</t>
  </si>
  <si>
    <t>Абдукаимов М. баатир сатып алуу</t>
  </si>
  <si>
    <t>Шаардык жолдор башкармалыгы</t>
  </si>
  <si>
    <t>Сууканал башкармалыгы</t>
  </si>
  <si>
    <t>Бала бакчалар (атайын эсеп)</t>
  </si>
  <si>
    <t>31 жаңы штаттык бирдик жана аларга керектелүүчү чарбалык буюмдар</t>
  </si>
  <si>
    <t>Б.Осмонов кочосуно декаративный габион</t>
  </si>
  <si>
    <t>Газон-чарбалык</t>
  </si>
  <si>
    <t>Комиссия кыскарткан сумма</t>
  </si>
  <si>
    <t>Комиссиядан кошулган сумма</t>
  </si>
  <si>
    <t>чарбалык буюмдар (цемент,апаловка,бетонамешалка, араба, проволка, лапата) тротуар 10 км</t>
  </si>
  <si>
    <t>1 вице-мэрге комп</t>
  </si>
  <si>
    <t>куураган дарактардын ордун толуктоо бак-дарак</t>
  </si>
  <si>
    <t xml:space="preserve">Шаардык кенештен кошумча 20% </t>
  </si>
  <si>
    <t>Автоунаанын тетиктерине</t>
  </si>
  <si>
    <t>Атрибуттар (флаг)</t>
  </si>
  <si>
    <t xml:space="preserve">Аристон 15,0 - 5,0 = 10,0 </t>
  </si>
  <si>
    <t xml:space="preserve">Кресло вице-мэрге 17,0 + 5,0 = 22,0 </t>
  </si>
  <si>
    <t>Шебень, чарбалык буюмдар (арыктарды бекемдоо)</t>
  </si>
  <si>
    <t>Шаар кочолоруно лоток орнотууга</t>
  </si>
  <si>
    <t>11 -айга батирдин ижарасын компенсациялоого</t>
  </si>
  <si>
    <r>
      <t xml:space="preserve">Комиссияда </t>
    </r>
    <r>
      <rPr>
        <b/>
        <sz val="10"/>
        <rFont val="Times New Roman"/>
        <family val="1"/>
        <charset val="204"/>
      </rPr>
      <t>кошулган</t>
    </r>
    <r>
      <rPr>
        <sz val="10"/>
        <rFont val="Times New Roman"/>
        <family val="1"/>
        <charset val="204"/>
      </rPr>
      <t xml:space="preserve"> чыгымдар</t>
    </r>
  </si>
  <si>
    <r>
      <t xml:space="preserve">Комиссияда </t>
    </r>
    <r>
      <rPr>
        <b/>
        <sz val="10"/>
        <rFont val="Times New Roman"/>
        <family val="1"/>
        <charset val="204"/>
      </rPr>
      <t>кыскартыган</t>
    </r>
    <r>
      <rPr>
        <sz val="10"/>
        <rFont val="Times New Roman"/>
        <family val="1"/>
        <charset val="204"/>
      </rPr>
      <t xml:space="preserve"> чыгымдар</t>
    </r>
  </si>
  <si>
    <t>500 сомдон мугалимдерге толонуучу каражат</t>
  </si>
  <si>
    <t>Транспорттук чыгымдардан кыскарды- ремонту</t>
  </si>
  <si>
    <t>Эмеректерди сатып алууга</t>
  </si>
  <si>
    <t>№14 мектепке парта алууга (15 комплект)</t>
  </si>
  <si>
    <t>Кароосуз калган темир дүкөндөрдү алууга каралган каражатты азайтуу</t>
  </si>
  <si>
    <t>Жалал-Абад областтык юстиция башкармалыгына штраф төлөөгө</t>
  </si>
  <si>
    <t>1С программасына 5000 сом*12 айга=60,0 миң сом</t>
  </si>
  <si>
    <t>Мамлекеттик газеталарга каралган каражатты азайтуу</t>
  </si>
  <si>
    <t>Үлүштүк каржылоого карадган каражат</t>
  </si>
  <si>
    <t>Шаардык кеңештен кошумча 20% үстөк</t>
  </si>
  <si>
    <t>Шаардык кеңештен кошумча үстөк</t>
  </si>
  <si>
    <t>Чарбалык буюмдар</t>
  </si>
  <si>
    <t>Атайын автоунаа айдоочунун иштөө мөөнөтүн 10 айга азайтуу</t>
  </si>
  <si>
    <t>Соц фонд техникалык ката</t>
  </si>
  <si>
    <t>Күйүүчү майга каралган каражатты азайтуу</t>
  </si>
  <si>
    <t>50,0 техникалык шарттар, 50,0 каналдарды тазалоо, 50,0 ПСД каралган каражаттарды азайтуу</t>
  </si>
  <si>
    <t>Компьютер ремонттоого</t>
  </si>
  <si>
    <t>Кенсе буюмдарына каралган каражат азайтуу</t>
  </si>
  <si>
    <t>Үлүштүк каржылоо жана башка курулуштар</t>
  </si>
  <si>
    <t>Канализация тартууга</t>
  </si>
  <si>
    <t>Транспорттук чыгымдар</t>
  </si>
  <si>
    <t>Курулуштарга каралган каражат</t>
  </si>
  <si>
    <t>Тетиктерди алууга</t>
  </si>
  <si>
    <t>Автоунааларды камсыздандырууга карлалган каражатты кыскартуу</t>
  </si>
  <si>
    <t>Сууга кошумча каражат</t>
  </si>
  <si>
    <t>Сыйлоого</t>
  </si>
  <si>
    <t>КЖРжККД</t>
  </si>
  <si>
    <t>13 штат бирдиги / 10 ай</t>
  </si>
  <si>
    <t>Техникага каралган каражат</t>
  </si>
  <si>
    <t>Кыскартылуучу штаттык бирдик</t>
  </si>
  <si>
    <t>Телефондун тарифин жогорулатуу</t>
  </si>
  <si>
    <t>Кызматкерлерди окутууга</t>
  </si>
  <si>
    <t>Тазалык (таштандыга) каралган каражатты кыскартуу</t>
  </si>
  <si>
    <t>Квитанцияга каралган каражат</t>
  </si>
  <si>
    <t>Салык төлөмү (таштандыга)</t>
  </si>
  <si>
    <t>Ар түрдүү чыгымдар</t>
  </si>
  <si>
    <t>Туз алууга кошумча каражат</t>
  </si>
  <si>
    <t>Ремонтко каралган каражатты азайтуу</t>
  </si>
  <si>
    <t>Монолитный бордюр</t>
  </si>
  <si>
    <t>Газон урук</t>
  </si>
  <si>
    <t>Кара топурак - 771,0, гон - 212,5, бак дарактарды даарылоого - 189,3, габион таштарын дробилкадан өткөрүү - 250,0</t>
  </si>
  <si>
    <t>Шагыл алууга кошумча каражат (наказ)</t>
  </si>
  <si>
    <t>ПСД даярдоого (наказ)</t>
  </si>
  <si>
    <t>Битум (наказ)</t>
  </si>
  <si>
    <t>Жениш мкр, Парковая к. суу түтүктөрүн алмаштырууга (наказ)</t>
  </si>
  <si>
    <t>Унаа тетиктерине каралган каражатты көбөйтүү</t>
  </si>
  <si>
    <t>Электро товар алууга (наказ)</t>
  </si>
  <si>
    <t>Лоток алууга (наказ)</t>
  </si>
  <si>
    <t>Скамейка алууга (наказ)</t>
  </si>
  <si>
    <t>Арыктарды оңдоого (наказ)</t>
  </si>
  <si>
    <t>Компьютер, принтер алууга (наказ)</t>
  </si>
  <si>
    <t>Интерактивдик доска алууга (наказ)</t>
  </si>
  <si>
    <t>№8 бала бакчага эмерек алууга (наказ)</t>
  </si>
  <si>
    <t>Трактор алууга (наказ)</t>
  </si>
  <si>
    <t>Канализация тартууга (наказ)</t>
  </si>
  <si>
    <t>Передвижка</t>
  </si>
  <si>
    <t>XVII сессиясынын</t>
  </si>
  <si>
    <t>__-токтомуна</t>
  </si>
  <si>
    <t>__.__.2023-жылдагы</t>
  </si>
  <si>
    <t>Киреше</t>
  </si>
  <si>
    <t>500 сомдон мугалимдерге төлөнүүчү каражат</t>
  </si>
  <si>
    <t>Аянттарга каралган каражат азайтуу</t>
  </si>
  <si>
    <t>№ 2-тиркеме</t>
  </si>
  <si>
    <t>2023-жылга КР ФМги тарабынан сунушталган</t>
  </si>
  <si>
    <t>Сессияда кыскартылган</t>
  </si>
  <si>
    <t>Кошумча суралган сумма</t>
  </si>
  <si>
    <t>Кыскартылган
сумма</t>
  </si>
  <si>
    <t>Курманбек стадион</t>
  </si>
  <si>
    <t>Таштанды тарифи жогорулагандыгына байланыштуу</t>
  </si>
  <si>
    <t>Ирригацияга керектелүүчү буюмдарды алууга</t>
  </si>
  <si>
    <t>Долбоорлорду ишке ашыруу бөлүмү</t>
  </si>
  <si>
    <t>Суу тарифинин жогорулашы</t>
  </si>
  <si>
    <t>З. Жамашев көчөсүндөгү көп кабаттуу турак жайдын батирлерин баалоого</t>
  </si>
  <si>
    <t>Ж. Бакиев атындагы Эко-паркка суу менен тамчылатуу системасын орнотуу</t>
  </si>
  <si>
    <t>Л. Бакирова көчөсүнө крым соснасын отургузуу үчүн</t>
  </si>
  <si>
    <t>Кредит кайтарууга</t>
  </si>
  <si>
    <t>Таблону иштетүү үчүн ноутбук сатып алуу</t>
  </si>
  <si>
    <t>2023-жылга  бекитилген план</t>
  </si>
  <si>
    <t>2023-жылга такталган план</t>
  </si>
  <si>
    <t>Айрыма</t>
  </si>
  <si>
    <t>МСК кошумча киреше</t>
  </si>
  <si>
    <t>Технадзор кызматы (стадион)</t>
  </si>
  <si>
    <t>Кагаз майдалагыч 2 даана</t>
  </si>
  <si>
    <t>Эмгек акы (мэрдин чини, секретность, архивист надбавка, выслуга лет уюштуруу бөлүмү)</t>
  </si>
  <si>
    <t>Мамлекеттик сатып алуулар порталына жарыяланган тендерден үнөмдөө</t>
  </si>
  <si>
    <t>Кургаткыч (4 даана)</t>
  </si>
  <si>
    <t>Комиссияда кыскартыган чыгымдар</t>
  </si>
  <si>
    <t>Комиссияда кошулган чыгымдар</t>
  </si>
  <si>
    <t>Электрондук кол тамганы (ЭЦП) жаңылоого</t>
  </si>
  <si>
    <t>Жаңы айыл башчыга (1 штат)</t>
  </si>
  <si>
    <t>Электрик штаттык бирдигин кыскартуу (1 штат)</t>
  </si>
  <si>
    <t>Ж. Бакиев атындагы Эко-паркка бакчы (1 штат)</t>
  </si>
  <si>
    <t>Бабкин көчөсүн кеңейтүүдө үй ээлерине төлөнүүчү компенсация</t>
  </si>
  <si>
    <t>Бөлүштүрүлбөгөн каражат</t>
  </si>
  <si>
    <t>Интернет ылдамдыгын жогорулатуу үчүн</t>
  </si>
  <si>
    <t>Жердин астын казууга жана суу түтүгүн (шланга) орнотуу үчүн кызмат акы</t>
  </si>
  <si>
    <t>Медиазона жасоого кызмат акы</t>
  </si>
  <si>
    <t>Суу түтүкчө (шланг 50) - 200м</t>
  </si>
  <si>
    <t>Интернет оптика-волокно кабелин сатып алуу</t>
  </si>
  <si>
    <t>Суу түтүгүн (шланг) орнотууга чарба буюмдарын сатып алуу</t>
  </si>
  <si>
    <t>Медиазона (стол) жасоо үчүн чарба буюмдарын сатып алуу</t>
  </si>
  <si>
    <t>№21 мектебине ашкана курууга</t>
  </si>
  <si>
    <t>Бюджттин киреше болугун кобойтуу</t>
  </si>
  <si>
    <t>Кыскартылган (кирешеге кошулган)
сумма</t>
  </si>
  <si>
    <t>Кошумча суралган сумма 2</t>
  </si>
  <si>
    <t>Жарнак калкандарды демонтаждоого кошумча</t>
  </si>
  <si>
    <t>2023-жыл башындагы калдык</t>
  </si>
  <si>
    <t>Кошумча айлык акы (оператор)</t>
  </si>
  <si>
    <t xml:space="preserve">Жалал-Абад шаарынын 2023-жылга шаардык кенешке сунушталган долбооруна өзгөртүүлөр тизмеси (атайын эсеп)
</t>
  </si>
  <si>
    <t>Авто тетиктерге кошумча каражат</t>
  </si>
  <si>
    <t>Электро-счетчик алууга</t>
  </si>
  <si>
    <t>Кошумча экономия 2</t>
  </si>
  <si>
    <t>Айлык акыдан экономия</t>
  </si>
  <si>
    <t>Кошумча суралган сумманын баары</t>
  </si>
  <si>
    <t>Кошумча экономия комиссияда</t>
  </si>
  <si>
    <t>Кошумча экономия баары</t>
  </si>
  <si>
    <t>Бал цехинин имаратын куруу (Кызыл-Суу айылына)</t>
  </si>
  <si>
    <t>Управ делами</t>
  </si>
  <si>
    <t>Шаардык ички иштер болумуно</t>
  </si>
  <si>
    <t>чарбалык/мекемеге керектелүүчү буюмдар</t>
  </si>
  <si>
    <t>№10 "Барчын" бала-бакчасынын электр зымдарын ондоого</t>
  </si>
  <si>
    <t>Чарбалык буюмдарды алууга</t>
  </si>
  <si>
    <t>Эмгек акыга кошумча каражат</t>
  </si>
  <si>
    <t>№ 3-тиркеме</t>
  </si>
  <si>
    <t>___токтомуна</t>
  </si>
  <si>
    <t>___ сессиясынын</t>
  </si>
  <si>
    <t>30.05.2023-жылдагы</t>
  </si>
  <si>
    <t>Тралдын кызмат акысы (Атайын техникаларды ташууда)</t>
  </si>
  <si>
    <t>Электрик штаттык бирдигин 1-июньдан тарта кыскартуу (1 штат)</t>
  </si>
  <si>
    <t>2023-жылдын 9-мартындагы "Кыргыз Республикасынын Баткен, Жалал-Абад, Ош жана Ысык-Кол облустарынын айрым калктуу конуштарын айыл категориясына киргизүү жөнүндөгү" мыйзамына ылайык жаны Айыл башчы штат бирдиги</t>
  </si>
  <si>
    <t>Т.Тайгараев а/б жайгашкан турак жай имаратарын жакшыртуу жана инженердик тармактар үчүн</t>
  </si>
  <si>
    <t>Көчөлөргө видео байкагыч орнотуу үчүн (Шаардык ички иштер бөлүмүнүн көзөмөлүндө биргеликте)</t>
  </si>
  <si>
    <t>Технадзор кызматы (Т.Тайгараев а/б жайгашкан стадион)</t>
  </si>
  <si>
    <t>Имараттын ички ажатканаларына кол кургаткыч (4 даана)</t>
  </si>
  <si>
    <t xml:space="preserve">Парапет (жол тосмо) буюмдарын алууга </t>
  </si>
  <si>
    <t xml:space="preserve">Ж. Бакиев атындагы Эко-паркка бакчы (1 штат) </t>
  </si>
  <si>
    <t>УГД</t>
  </si>
  <si>
    <t>Водаканал</t>
  </si>
  <si>
    <t>Жусупбеков</t>
  </si>
  <si>
    <t>Ахмед</t>
  </si>
  <si>
    <t>ДКС</t>
  </si>
  <si>
    <t>Аким уулу Т</t>
  </si>
  <si>
    <t>ГорОО</t>
  </si>
  <si>
    <t>ФК и Спорт</t>
  </si>
  <si>
    <t>орг техника</t>
  </si>
  <si>
    <t>Эрлан</t>
  </si>
  <si>
    <t>ЖГХиОБ</t>
  </si>
  <si>
    <t>Айбек</t>
  </si>
  <si>
    <t>?</t>
  </si>
  <si>
    <t xml:space="preserve">Совет </t>
  </si>
  <si>
    <t xml:space="preserve">Жумабек </t>
  </si>
  <si>
    <t>Баары</t>
  </si>
  <si>
    <t>Улук</t>
  </si>
  <si>
    <t>Бабкин көчөсүн кеңейтүүдө үй ээлерине төлөнүүчү компенсациясынын болжолдуу эсеби</t>
  </si>
  <si>
    <t>Интеракт доска 2 даана №11 мектеп</t>
  </si>
  <si>
    <t>Асфальттоо Тешебаева и Мозговая кочолору</t>
  </si>
  <si>
    <t>Мухтар</t>
  </si>
  <si>
    <t>Торага</t>
  </si>
  <si>
    <t>Кызыл-Суу айылынын жолун сурууго</t>
  </si>
  <si>
    <t>Гаюпбаев кочосун асфальтоого</t>
  </si>
  <si>
    <t>Дачага суу тутукторун</t>
  </si>
  <si>
    <t>Эргеш Алиев кочосунун канализациясын</t>
  </si>
  <si>
    <t>Чехов Байзаков кочосунун кесилишин асфальттоо домдун алдын</t>
  </si>
  <si>
    <t>ГСМ Аи-92</t>
  </si>
  <si>
    <t>Асфальттоо Тешебаева и М. Москов кочолору</t>
  </si>
  <si>
    <t>2023-жылы аткарыла турган курулуш иштерине</t>
  </si>
  <si>
    <t>Суу тутукторун Тош-Кутчу айыл</t>
  </si>
  <si>
    <t>Таштанды чыгарууга - 20,0 миң сом, Стенд жасатууга - 30,0 миң сом</t>
  </si>
  <si>
    <t>Байланыш кызматы (Интернет - 16,4 миң сом, Тел - 6,3 миң сом)</t>
  </si>
  <si>
    <t>Мүлктү учурдагы оңдоого чыгымдар (ремонт)</t>
  </si>
  <si>
    <t>Электр энергиясына акы төлөө - 699,8 миң сом,
Сууга акы төлөө - 32,0 миң сом</t>
  </si>
  <si>
    <t>Телевизор, эмерек алууга</t>
  </si>
  <si>
    <t>Күйүүчү май сатып алууга</t>
  </si>
  <si>
    <t>Гүл уругун алууга</t>
  </si>
  <si>
    <t>№11 мектебине 2 даана интерактивдик доска алууга</t>
  </si>
  <si>
    <t>Офистик жабдуу сатып алуу</t>
  </si>
  <si>
    <t xml:space="preserve">Кызыл-Суу айылынын жолун тегиздөө </t>
  </si>
  <si>
    <t>Чехов/Байзаков көчөлөрүнүн кесилишин асфальттоо</t>
  </si>
  <si>
    <t>Гаюпбаев көчөсүн асфальттоо</t>
  </si>
  <si>
    <t xml:space="preserve">Долбоорду түзүүгө </t>
  </si>
  <si>
    <t xml:space="preserve">Эргеш Алиев көчөсүнүн канализациясын оңдоого </t>
  </si>
  <si>
    <t>Төш-Кутчу айылынын суу түтүктөрүн оңдоого</t>
  </si>
  <si>
    <t>Курманбек кичи районунун №15 көчөсүнө канализация тартуу</t>
  </si>
  <si>
    <t>Дача кичи шаарчасынын суу түтүктөрүн ремонттоого</t>
  </si>
  <si>
    <t>КР ФМ Окуу борборуна окуу үчүн (сертификат)</t>
  </si>
  <si>
    <t xml:space="preserve">Тешебаева, Мазкова көчөсүн асфальттоо </t>
  </si>
  <si>
    <t>Мектептердин оңдоп түзөө иштерине</t>
  </si>
  <si>
    <t>Курманбек кочосунун канализациясы</t>
  </si>
  <si>
    <t>Жалал-Абад шаарынын Маалымат борборунун  штаттык ырааттамасы</t>
  </si>
  <si>
    <t xml:space="preserve">Коэффициент </t>
  </si>
  <si>
    <t>Үстөктөр жана кошумча акылар</t>
  </si>
  <si>
    <t xml:space="preserve">Жалпы бир айлык эмгек акы 
</t>
  </si>
  <si>
    <t>Эмгек өргү</t>
  </si>
  <si>
    <t>2 эмгек өргүүгө каралган даарылануучу жөлөк пул</t>
  </si>
  <si>
    <t>Премиялар</t>
  </si>
  <si>
    <t>13 эмгек акы</t>
  </si>
  <si>
    <t>Жол жана тамак аш чыгымдары</t>
  </si>
  <si>
    <t xml:space="preserve">Эмгек акы жылдык фонду </t>
  </si>
  <si>
    <t xml:space="preserve">Социалдык фондко төлөөгө </t>
  </si>
  <si>
    <t xml:space="preserve">Эмгек акы төлөмдөрүнүн жылдык фонду </t>
  </si>
  <si>
    <t>Эмгек стаж (мамлекеттик /муницип. ж.б стаж)</t>
  </si>
  <si>
    <t>Иштин жашырын мунозу учун кошумча устоктор, 25%</t>
  </si>
  <si>
    <t>Жумуштун оордугуна кошумча төлөм,  25% (мэрия, кенеш), 10%  (структуралык мекемелер)</t>
  </si>
  <si>
    <t>КР Өкмөтү тарабынан кошулуучу бөлөк үстөктөр</t>
  </si>
  <si>
    <t>22-1</t>
  </si>
  <si>
    <t>15</t>
  </si>
  <si>
    <t>22-3</t>
  </si>
  <si>
    <t>16</t>
  </si>
  <si>
    <t>17</t>
  </si>
  <si>
    <t>18</t>
  </si>
  <si>
    <t>Ага кабарчы</t>
  </si>
  <si>
    <t>Башкы эсепчи</t>
  </si>
  <si>
    <t>Администратор веб-сайт</t>
  </si>
  <si>
    <t>Кабарчы</t>
  </si>
  <si>
    <t>Видео-оператор</t>
  </si>
  <si>
    <t>Оператор ЛЭД-экран</t>
  </si>
  <si>
    <t>Жалпы эсеби</t>
  </si>
  <si>
    <r>
      <rPr>
        <i/>
        <sz val="10"/>
        <color theme="1"/>
        <rFont val="Times New Roman"/>
        <family val="1"/>
        <charset val="204"/>
      </rPr>
      <t xml:space="preserve">Эскертме* 2023-жылдын 1-июнунан  Шаардык кеңештен кошулуучу кошумча үстөк (20%) 
2111 (Эмгек акы) - 306,7 миң сом, 
2121 (Социалдык фонд) - 47,5 миң сом, 
</t>
    </r>
    <r>
      <rPr>
        <b/>
        <i/>
        <sz val="10"/>
        <color theme="1"/>
        <rFont val="Times New Roman"/>
        <family val="1"/>
        <charset val="204"/>
      </rPr>
      <t xml:space="preserve">Жалпысы 354,2 миң сом </t>
    </r>
  </si>
  <si>
    <t>№  4 - тиркеме</t>
  </si>
  <si>
    <t>19</t>
  </si>
  <si>
    <t>20</t>
  </si>
  <si>
    <t>21</t>
  </si>
  <si>
    <t>22</t>
  </si>
  <si>
    <t>Айыл башчы</t>
  </si>
  <si>
    <t>Ден-соолукту чыңдоочу комплекси</t>
  </si>
  <si>
    <t>Кийим буюмдарын сатып алуу (монежка)</t>
  </si>
  <si>
    <t>Чарбалык буюмдарын (кеңсе буюмдарын) алууга</t>
  </si>
  <si>
    <t>Электрик штаттык бирдигин 1-июнунан тартып кыскартуу (1 штат)</t>
  </si>
  <si>
    <t>Эмгек акы (мэрдин чини, жашыруун мүнөздүү жумушка, архивист надбавка, эмгек стаж уюштуруу бөлүмү)</t>
  </si>
  <si>
    <t>Көчөлөргө видео байкагыч орнотуу үчүн (Шаардык ички иштер бөлүмүнүн көзөмөлүндө/биргеликте)</t>
  </si>
  <si>
    <t>Долбоорду түзүү кызмат акысы</t>
  </si>
  <si>
    <t>1-июндан тартып кошулуучу үстөк акы 20%</t>
  </si>
  <si>
    <t>Чарбалык (мекемеге) керектелүүчү буюмдар</t>
  </si>
  <si>
    <t>Шаар тургуну Б.Калчабаевага материалдык жардам көрсөтүү (операцияга)</t>
  </si>
  <si>
    <t>Атайын техникалардын кызмат акысы (трал)</t>
  </si>
  <si>
    <t>Эмгек акы (Жергиликтүү бюджеттен жетпей калган айырмасы)</t>
  </si>
  <si>
    <t>Биринчи жардам көрсөтүүгө керектелүүчү медициналык каражаттар</t>
  </si>
  <si>
    <t>2023-жылына кошумча киреше</t>
  </si>
  <si>
    <t>Жергиликтүү бюджеттин эсебинен каржылануучу кошумча штаттык бирдиктер</t>
  </si>
  <si>
    <r>
      <t>Т.Тайгараев аймактык башкармалыгынын 2023-жылдын 1-</t>
    </r>
    <r>
      <rPr>
        <b/>
        <sz val="12"/>
        <color rgb="FF000000"/>
        <rFont val="Times New Roman"/>
        <family val="1"/>
        <charset val="204"/>
      </rPr>
      <t xml:space="preserve">июлунан </t>
    </r>
    <r>
      <rPr>
        <b/>
        <sz val="12"/>
        <color indexed="8"/>
        <rFont val="Times New Roman"/>
        <family val="1"/>
        <charset val="204"/>
      </rPr>
      <t>кошулуучу штатты бирдиги</t>
    </r>
  </si>
  <si>
    <t>Бакчы-Нооруз багы</t>
  </si>
  <si>
    <r>
      <t>Жашылдандыруу чарба</t>
    </r>
    <r>
      <rPr>
        <b/>
        <sz val="12"/>
        <color rgb="FF000000"/>
        <rFont val="Times New Roman"/>
        <family val="1"/>
        <charset val="204"/>
      </rPr>
      <t>сынын</t>
    </r>
    <r>
      <rPr>
        <b/>
        <sz val="12"/>
        <color indexed="8"/>
        <rFont val="Times New Roman"/>
        <family val="1"/>
        <charset val="204"/>
      </rPr>
      <t xml:space="preserve"> 2023-жылдын 1-</t>
    </r>
    <r>
      <rPr>
        <b/>
        <sz val="12"/>
        <color rgb="FF000000"/>
        <rFont val="Times New Roman"/>
        <family val="1"/>
        <charset val="204"/>
      </rPr>
      <t xml:space="preserve">июнунан </t>
    </r>
    <r>
      <rPr>
        <b/>
        <sz val="12"/>
        <color indexed="8"/>
        <rFont val="Times New Roman"/>
        <family val="1"/>
        <charset val="204"/>
      </rPr>
      <t>кошулуучу штатты бирдиги</t>
    </r>
  </si>
  <si>
    <t>№ 5 - тиркеме</t>
  </si>
  <si>
    <t>"Жалал-Абад шаарынын ден-соолукту чыңдоочу комплекси" муниципалдык мекемесинин атайын эсебинен каржылануучу штаттык бирдиги</t>
  </si>
  <si>
    <t>Жалпы жоопту кызматкер</t>
  </si>
  <si>
    <t>Жалпы ТТП</t>
  </si>
  <si>
    <t>Кароолчу</t>
  </si>
  <si>
    <t>Жалпы КТП</t>
  </si>
  <si>
    <t>Келишимдин негизинде КТП</t>
  </si>
  <si>
    <t>Администратор-чарба башчы</t>
  </si>
  <si>
    <t>Жетекчинин катчысы/иш-кагаздарын алып баруучу</t>
  </si>
  <si>
    <t>Электрик-сантехник</t>
  </si>
  <si>
    <t>Мед айым</t>
  </si>
  <si>
    <t>Көзөмөлдөөчү (ресепшен)</t>
  </si>
  <si>
    <t>Тазалоочу</t>
  </si>
  <si>
    <t>Электрондук кол тамганы (ЭЦП) жаңылоого/КР ФМ караштуу окуу борборунда окууга</t>
  </si>
  <si>
    <t>Эмеректер жана жабдуулар</t>
  </si>
  <si>
    <t xml:space="preserve">Жумабек/Айбек </t>
  </si>
  <si>
    <t>Чехов/Байзаков көчөлөрүнүн кесилишинде жайгашкан батирдин алдын асфальттоо</t>
  </si>
  <si>
    <t>Асфальт заводунун экологиялык паспортун жаңылоого</t>
  </si>
  <si>
    <t>Чарбалык (заводко) керектелүүчү буюмдар</t>
  </si>
  <si>
    <t xml:space="preserve">Төш-Кутчу айылынын ички көчөлөрүнө шебен төгүү үчүн </t>
  </si>
  <si>
    <t xml:space="preserve">Төш-Кутчу айылынын ички көчөлөрүнүн суу түтүктөрүн оңдоо үчүн </t>
  </si>
  <si>
    <t>шебень</t>
  </si>
  <si>
    <t>XXVIII сессиясынын</t>
  </si>
  <si>
    <t>Технадзор кызматы (Т.Тайгараев а/б жайгашкан футбол аянтчасы)</t>
  </si>
  <si>
    <t>№1-токтомуна</t>
  </si>
  <si>
    <t>№1 токтомуна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</si>
</sst>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_-* #,##0.00_-;\-* #,##0.00_-;_-* &quot;-&quot;??_-;_-@_-"/>
    <numFmt numFmtId="166" formatCode="#,##0.0"/>
    <numFmt numFmtId="167" formatCode="0.0"/>
    <numFmt numFmtId="168" formatCode="_-* #,##0_р_._-;\-* #,##0_р_._-;_-* &quot;-&quot;??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 CE"/>
      <family val="1"/>
      <charset val="238"/>
    </font>
    <font>
      <b/>
      <sz val="10"/>
      <name val="Times New Roman CE"/>
      <charset val="204"/>
    </font>
    <font>
      <sz val="10"/>
      <name val="Times New Roman CE"/>
      <charset val="204"/>
    </font>
    <font>
      <b/>
      <sz val="10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sz val="10"/>
      <name val="Times New Roman CE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Arial Cyr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 CE"/>
      <family val="1"/>
      <charset val="238"/>
    </font>
    <font>
      <b/>
      <i/>
      <sz val="10"/>
      <color theme="1"/>
      <name val="Times New Roman CE"/>
      <family val="1"/>
      <charset val="238"/>
    </font>
    <font>
      <i/>
      <sz val="10"/>
      <color theme="1"/>
      <name val="Times New Roman CE"/>
      <charset val="204"/>
    </font>
    <font>
      <sz val="10"/>
      <color theme="1"/>
      <name val="Times New Roman CE"/>
      <charset val="204"/>
    </font>
    <font>
      <b/>
      <sz val="10"/>
      <color theme="1"/>
      <name val="Times New Roman CE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rgb="FFFF0000"/>
      <name val="Arial Cyr"/>
      <charset val="204"/>
    </font>
    <font>
      <sz val="10"/>
      <color rgb="FFFF0000"/>
      <name val="Arial Cyr"/>
      <charset val="204"/>
    </font>
    <font>
      <b/>
      <sz val="10"/>
      <color rgb="FF0070C0"/>
      <name val="Times New Roman"/>
      <family val="1"/>
      <charset val="204"/>
    </font>
    <font>
      <sz val="10"/>
      <color theme="1"/>
      <name val="Calibri"/>
      <family val="2"/>
      <scheme val="minor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 CE"/>
      <family val="1"/>
      <charset val="238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18" fillId="0" borderId="0"/>
    <xf numFmtId="0" fontId="2" fillId="0" borderId="0"/>
    <xf numFmtId="0" fontId="23" fillId="0" borderId="0"/>
    <xf numFmtId="0" fontId="1" fillId="0" borderId="0"/>
    <xf numFmtId="0" fontId="1" fillId="0" borderId="0"/>
    <xf numFmtId="9" fontId="33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55">
    <xf numFmtId="0" fontId="0" fillId="0" borderId="0" xfId="0"/>
    <xf numFmtId="3" fontId="4" fillId="0" borderId="0" xfId="0" applyNumberFormat="1" applyFont="1" applyAlignment="1">
      <alignment horizontal="right"/>
    </xf>
    <xf numFmtId="0" fontId="10" fillId="0" borderId="0" xfId="1" applyFont="1" applyFill="1"/>
    <xf numFmtId="0" fontId="4" fillId="0" borderId="0" xfId="0" applyFont="1" applyFill="1" applyAlignment="1">
      <alignment horizontal="right"/>
    </xf>
    <xf numFmtId="0" fontId="11" fillId="0" borderId="0" xfId="0" applyFont="1" applyFill="1"/>
    <xf numFmtId="0" fontId="10" fillId="0" borderId="0" xfId="1" applyFont="1"/>
    <xf numFmtId="0" fontId="11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/>
    </xf>
    <xf numFmtId="0" fontId="11" fillId="0" borderId="0" xfId="0" applyFont="1" applyFill="1" applyBorder="1" applyAlignment="1"/>
    <xf numFmtId="0" fontId="11" fillId="0" borderId="0" xfId="0" applyFont="1" applyBorder="1"/>
    <xf numFmtId="3" fontId="11" fillId="0" borderId="0" xfId="0" applyNumberFormat="1" applyFont="1" applyAlignment="1">
      <alignment horizontal="right"/>
    </xf>
    <xf numFmtId="168" fontId="12" fillId="0" borderId="2" xfId="2" applyNumberFormat="1" applyFont="1" applyFill="1" applyBorder="1" applyAlignment="1">
      <alignment horizontal="center" vertical="center"/>
    </xf>
    <xf numFmtId="168" fontId="11" fillId="0" borderId="0" xfId="0" applyNumberFormat="1" applyFont="1"/>
    <xf numFmtId="0" fontId="11" fillId="0" borderId="0" xfId="0" applyFont="1" applyAlignment="1">
      <alignment horizontal="center"/>
    </xf>
    <xf numFmtId="0" fontId="11" fillId="0" borderId="0" xfId="0" applyNumberFormat="1" applyFont="1" applyFill="1" applyBorder="1" applyAlignment="1"/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vertical="center"/>
    </xf>
    <xf numFmtId="0" fontId="13" fillId="0" borderId="2" xfId="2" applyNumberFormat="1" applyFont="1" applyBorder="1"/>
    <xf numFmtId="1" fontId="13" fillId="0" borderId="2" xfId="2" applyNumberFormat="1" applyFont="1" applyBorder="1"/>
    <xf numFmtId="168" fontId="13" fillId="0" borderId="2" xfId="2" applyNumberFormat="1" applyFont="1" applyBorder="1" applyAlignment="1">
      <alignment horizontal="right"/>
    </xf>
    <xf numFmtId="168" fontId="13" fillId="0" borderId="2" xfId="2" applyNumberFormat="1" applyFont="1" applyFill="1" applyBorder="1" applyAlignment="1">
      <alignment horizontal="right"/>
    </xf>
    <xf numFmtId="168" fontId="0" fillId="0" borderId="2" xfId="0" applyNumberFormat="1" applyBorder="1" applyAlignment="1">
      <alignment horizontal="right"/>
    </xf>
    <xf numFmtId="168" fontId="0" fillId="0" borderId="6" xfId="0" applyNumberFormat="1" applyBorder="1" applyAlignment="1">
      <alignment horizontal="right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2" xfId="2" applyNumberFormat="1" applyFont="1" applyFill="1" applyBorder="1" applyAlignment="1">
      <alignment horizontal="center" vertical="center"/>
    </xf>
    <xf numFmtId="168" fontId="14" fillId="0" borderId="6" xfId="0" applyNumberFormat="1" applyFont="1" applyBorder="1" applyAlignment="1">
      <alignment horizontal="center" vertical="center"/>
    </xf>
    <xf numFmtId="168" fontId="0" fillId="0" borderId="0" xfId="0" applyNumberFormat="1"/>
    <xf numFmtId="0" fontId="10" fillId="0" borderId="2" xfId="0" applyFont="1" applyFill="1" applyBorder="1" applyAlignment="1">
      <alignment horizontal="center" vertical="center" wrapText="1"/>
    </xf>
    <xf numFmtId="0" fontId="11" fillId="0" borderId="0" xfId="1" applyFont="1" applyFill="1"/>
    <xf numFmtId="3" fontId="4" fillId="0" borderId="0" xfId="0" applyNumberFormat="1" applyFont="1" applyFill="1" applyAlignment="1">
      <alignment horizontal="right"/>
    </xf>
    <xf numFmtId="0" fontId="11" fillId="0" borderId="7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1" applyFont="1" applyFill="1" applyAlignment="1">
      <alignment horizontal="right"/>
    </xf>
    <xf numFmtId="0" fontId="13" fillId="0" borderId="0" xfId="0" applyFont="1" applyFill="1"/>
    <xf numFmtId="166" fontId="13" fillId="0" borderId="0" xfId="0" applyNumberFormat="1" applyFont="1" applyFill="1"/>
    <xf numFmtId="0" fontId="11" fillId="0" borderId="0" xfId="0" applyFont="1" applyFill="1" applyBorder="1" applyAlignment="1">
      <alignment vertical="center" wrapText="1"/>
    </xf>
    <xf numFmtId="168" fontId="12" fillId="0" borderId="14" xfId="2" applyNumberFormat="1" applyFont="1" applyFill="1" applyBorder="1" applyAlignment="1">
      <alignment horizontal="center" vertical="center"/>
    </xf>
    <xf numFmtId="167" fontId="11" fillId="0" borderId="2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vertical="center"/>
    </xf>
    <xf numFmtId="167" fontId="10" fillId="0" borderId="0" xfId="0" applyNumberFormat="1" applyFont="1" applyFill="1" applyBorder="1" applyAlignment="1"/>
    <xf numFmtId="0" fontId="10" fillId="0" borderId="2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0" fontId="15" fillId="0" borderId="0" xfId="0" applyFont="1" applyFill="1"/>
    <xf numFmtId="167" fontId="11" fillId="0" borderId="2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Font="1" applyFill="1" applyBorder="1"/>
    <xf numFmtId="166" fontId="0" fillId="0" borderId="0" xfId="0" applyNumberFormat="1" applyFont="1" applyFill="1"/>
    <xf numFmtId="167" fontId="0" fillId="0" borderId="0" xfId="0" applyNumberFormat="1" applyFont="1" applyFill="1"/>
    <xf numFmtId="0" fontId="0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3" fillId="0" borderId="0" xfId="0" applyFont="1"/>
    <xf numFmtId="0" fontId="11" fillId="0" borderId="0" xfId="1" applyFont="1" applyAlignment="1">
      <alignment horizontal="right"/>
    </xf>
    <xf numFmtId="0" fontId="11" fillId="0" borderId="2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wrapText="1"/>
    </xf>
    <xf numFmtId="0" fontId="11" fillId="0" borderId="2" xfId="1" applyFont="1" applyBorder="1" applyAlignment="1">
      <alignment horizontal="center"/>
    </xf>
    <xf numFmtId="0" fontId="16" fillId="0" borderId="2" xfId="1" applyFont="1" applyBorder="1"/>
    <xf numFmtId="0" fontId="19" fillId="0" borderId="2" xfId="1" applyFont="1" applyBorder="1"/>
    <xf numFmtId="0" fontId="11" fillId="0" borderId="2" xfId="1" applyFont="1" applyBorder="1" applyAlignment="1">
      <alignment horizontal="left" vertical="center" wrapText="1"/>
    </xf>
    <xf numFmtId="1" fontId="4" fillId="0" borderId="2" xfId="1" applyNumberFormat="1" applyFont="1" applyBorder="1"/>
    <xf numFmtId="166" fontId="11" fillId="0" borderId="2" xfId="1" applyNumberFormat="1" applyFont="1" applyBorder="1"/>
    <xf numFmtId="166" fontId="24" fillId="0" borderId="2" xfId="1" applyNumberFormat="1" applyFont="1" applyBorder="1"/>
    <xf numFmtId="166" fontId="4" fillId="0" borderId="2" xfId="1" applyNumberFormat="1" applyFont="1" applyBorder="1"/>
    <xf numFmtId="0" fontId="13" fillId="0" borderId="2" xfId="0" applyFont="1" applyBorder="1"/>
    <xf numFmtId="0" fontId="11" fillId="0" borderId="2" xfId="1" applyFont="1" applyBorder="1"/>
    <xf numFmtId="0" fontId="10" fillId="0" borderId="2" xfId="1" applyFont="1" applyBorder="1"/>
    <xf numFmtId="0" fontId="20" fillId="0" borderId="2" xfId="1" applyFont="1" applyBorder="1" applyAlignment="1">
      <alignment horizontal="center"/>
    </xf>
    <xf numFmtId="166" fontId="20" fillId="0" borderId="2" xfId="1" applyNumberFormat="1" applyFont="1" applyBorder="1"/>
    <xf numFmtId="166" fontId="25" fillId="0" borderId="2" xfId="1" applyNumberFormat="1" applyFont="1" applyBorder="1"/>
    <xf numFmtId="166" fontId="8" fillId="0" borderId="2" xfId="1" applyNumberFormat="1" applyFont="1" applyBorder="1"/>
    <xf numFmtId="0" fontId="11" fillId="0" borderId="2" xfId="1" applyFont="1" applyBorder="1" applyAlignment="1">
      <alignment wrapText="1"/>
    </xf>
    <xf numFmtId="166" fontId="6" fillId="0" borderId="2" xfId="1" applyNumberFormat="1" applyFont="1" applyBorder="1" applyAlignment="1">
      <alignment horizontal="center"/>
    </xf>
    <xf numFmtId="0" fontId="20" fillId="0" borderId="2" xfId="1" applyFont="1" applyBorder="1" applyAlignment="1">
      <alignment horizontal="center" wrapText="1"/>
    </xf>
    <xf numFmtId="0" fontId="21" fillId="0" borderId="2" xfId="1" applyFont="1" applyBorder="1"/>
    <xf numFmtId="166" fontId="21" fillId="0" borderId="2" xfId="1" applyNumberFormat="1" applyFont="1" applyBorder="1"/>
    <xf numFmtId="166" fontId="26" fillId="0" borderId="2" xfId="1" applyNumberFormat="1" applyFont="1" applyBorder="1"/>
    <xf numFmtId="166" fontId="9" fillId="0" borderId="2" xfId="1" applyNumberFormat="1" applyFont="1" applyBorder="1"/>
    <xf numFmtId="167" fontId="13" fillId="0" borderId="2" xfId="0" applyNumberFormat="1" applyFont="1" applyBorder="1"/>
    <xf numFmtId="0" fontId="16" fillId="0" borderId="2" xfId="1" applyFont="1" applyBorder="1" applyAlignment="1">
      <alignment vertical="center"/>
    </xf>
    <xf numFmtId="0" fontId="4" fillId="0" borderId="2" xfId="1" applyFont="1" applyBorder="1" applyAlignment="1">
      <alignment horizontal="left" vertical="center"/>
    </xf>
    <xf numFmtId="166" fontId="27" fillId="0" borderId="2" xfId="1" applyNumberFormat="1" applyFont="1" applyBorder="1"/>
    <xf numFmtId="166" fontId="6" fillId="0" borderId="2" xfId="1" applyNumberFormat="1" applyFont="1" applyBorder="1"/>
    <xf numFmtId="0" fontId="6" fillId="0" borderId="2" xfId="1" applyFont="1" applyBorder="1" applyAlignment="1">
      <alignment horizontal="left" vertical="center"/>
    </xf>
    <xf numFmtId="0" fontId="16" fillId="0" borderId="2" xfId="7" applyFont="1" applyBorder="1"/>
    <xf numFmtId="0" fontId="16" fillId="0" borderId="2" xfId="7" applyFont="1" applyBorder="1" applyAlignment="1">
      <alignment wrapText="1"/>
    </xf>
    <xf numFmtId="166" fontId="22" fillId="0" borderId="2" xfId="7" applyNumberFormat="1" applyFont="1" applyBorder="1" applyAlignment="1">
      <alignment horizontal="right" wrapText="1"/>
    </xf>
    <xf numFmtId="0" fontId="10" fillId="0" borderId="2" xfId="1" applyFont="1" applyBorder="1" applyAlignment="1">
      <alignment wrapText="1"/>
    </xf>
    <xf numFmtId="166" fontId="12" fillId="0" borderId="2" xfId="0" applyNumberFormat="1" applyFont="1" applyBorder="1"/>
    <xf numFmtId="0" fontId="10" fillId="0" borderId="2" xfId="1" applyFont="1" applyBorder="1" applyAlignment="1">
      <alignment horizontal="center"/>
    </xf>
    <xf numFmtId="166" fontId="5" fillId="0" borderId="2" xfId="1" applyNumberFormat="1" applyFont="1" applyBorder="1"/>
    <xf numFmtId="166" fontId="5" fillId="0" borderId="4" xfId="1" applyNumberFormat="1" applyFont="1" applyBorder="1"/>
    <xf numFmtId="166" fontId="13" fillId="0" borderId="2" xfId="1" applyNumberFormat="1" applyFont="1" applyBorder="1"/>
    <xf numFmtId="166" fontId="13" fillId="0" borderId="2" xfId="0" applyNumberFormat="1" applyFont="1" applyBorder="1"/>
    <xf numFmtId="167" fontId="10" fillId="0" borderId="2" xfId="0" applyNumberFormat="1" applyFont="1" applyFill="1" applyBorder="1" applyAlignment="1">
      <alignment horizontal="right"/>
    </xf>
    <xf numFmtId="167" fontId="11" fillId="0" borderId="2" xfId="0" applyNumberFormat="1" applyFont="1" applyFill="1" applyBorder="1" applyAlignment="1">
      <alignment horizontal="right"/>
    </xf>
    <xf numFmtId="167" fontId="11" fillId="0" borderId="2" xfId="0" applyNumberFormat="1" applyFont="1" applyFill="1" applyBorder="1" applyAlignment="1">
      <alignment horizontal="right" vertical="center"/>
    </xf>
    <xf numFmtId="166" fontId="11" fillId="0" borderId="2" xfId="0" applyNumberFormat="1" applyFont="1" applyFill="1" applyBorder="1" applyAlignment="1">
      <alignment horizontal="right"/>
    </xf>
    <xf numFmtId="167" fontId="10" fillId="0" borderId="0" xfId="0" applyNumberFormat="1" applyFont="1" applyFill="1" applyBorder="1" applyAlignment="1">
      <alignment horizontal="right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167" fontId="11" fillId="3" borderId="2" xfId="0" applyNumberFormat="1" applyFont="1" applyFill="1" applyBorder="1" applyAlignment="1">
      <alignment horizontal="right"/>
    </xf>
    <xf numFmtId="166" fontId="11" fillId="3" borderId="2" xfId="0" applyNumberFormat="1" applyFont="1" applyFill="1" applyBorder="1" applyAlignment="1">
      <alignment horizontal="right"/>
    </xf>
    <xf numFmtId="0" fontId="11" fillId="3" borderId="6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/>
    </xf>
    <xf numFmtId="167" fontId="10" fillId="0" borderId="2" xfId="0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/>
    </xf>
    <xf numFmtId="167" fontId="11" fillId="4" borderId="2" xfId="0" applyNumberFormat="1" applyFont="1" applyFill="1" applyBorder="1" applyAlignment="1">
      <alignment horizontal="right"/>
    </xf>
    <xf numFmtId="166" fontId="11" fillId="4" borderId="2" xfId="0" applyNumberFormat="1" applyFont="1" applyFill="1" applyBorder="1" applyAlignment="1">
      <alignment horizontal="right"/>
    </xf>
    <xf numFmtId="0" fontId="11" fillId="4" borderId="2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67" fontId="15" fillId="0" borderId="0" xfId="0" applyNumberFormat="1" applyFont="1" applyFill="1"/>
    <xf numFmtId="0" fontId="15" fillId="0" borderId="0" xfId="0" applyFont="1" applyFill="1" applyAlignment="1">
      <alignment vertical="center"/>
    </xf>
    <xf numFmtId="0" fontId="11" fillId="0" borderId="6" xfId="0" applyFont="1" applyFill="1" applyBorder="1" applyAlignment="1">
      <alignment horizontal="center"/>
    </xf>
    <xf numFmtId="167" fontId="11" fillId="0" borderId="6" xfId="0" applyNumberFormat="1" applyFont="1" applyFill="1" applyBorder="1" applyAlignment="1">
      <alignment horizontal="right"/>
    </xf>
    <xf numFmtId="0" fontId="11" fillId="0" borderId="20" xfId="0" applyFont="1" applyFill="1" applyBorder="1" applyAlignment="1">
      <alignment horizontal="center"/>
    </xf>
    <xf numFmtId="167" fontId="11" fillId="0" borderId="20" xfId="0" applyNumberFormat="1" applyFont="1" applyFill="1" applyBorder="1" applyAlignment="1">
      <alignment horizontal="right"/>
    </xf>
    <xf numFmtId="167" fontId="11" fillId="0" borderId="7" xfId="0" applyNumberFormat="1" applyFont="1" applyFill="1" applyBorder="1" applyAlignment="1">
      <alignment horizontal="right"/>
    </xf>
    <xf numFmtId="167" fontId="11" fillId="0" borderId="7" xfId="0" applyNumberFormat="1" applyFont="1" applyFill="1" applyBorder="1" applyAlignment="1">
      <alignment horizontal="right" vertical="center"/>
    </xf>
    <xf numFmtId="167" fontId="11" fillId="0" borderId="20" xfId="0" applyNumberFormat="1" applyFont="1" applyFill="1" applyBorder="1" applyAlignment="1">
      <alignment horizontal="right" vertical="center"/>
    </xf>
    <xf numFmtId="167" fontId="10" fillId="0" borderId="7" xfId="0" applyNumberFormat="1" applyFont="1" applyFill="1" applyBorder="1" applyAlignment="1">
      <alignment horizontal="right"/>
    </xf>
    <xf numFmtId="167" fontId="0" fillId="0" borderId="0" xfId="0" applyNumberFormat="1" applyFont="1" applyFill="1" applyAlignment="1">
      <alignment vertical="center"/>
    </xf>
    <xf numFmtId="167" fontId="15" fillId="0" borderId="0" xfId="0" applyNumberFormat="1" applyFont="1" applyFill="1" applyAlignment="1">
      <alignment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/>
    </xf>
    <xf numFmtId="167" fontId="11" fillId="0" borderId="22" xfId="0" applyNumberFormat="1" applyFont="1" applyFill="1" applyBorder="1" applyAlignment="1">
      <alignment horizontal="right"/>
    </xf>
    <xf numFmtId="167" fontId="11" fillId="0" borderId="22" xfId="0" applyNumberFormat="1" applyFont="1" applyFill="1" applyBorder="1" applyAlignment="1">
      <alignment horizontal="right" vertical="center"/>
    </xf>
    <xf numFmtId="0" fontId="11" fillId="0" borderId="22" xfId="0" applyFont="1" applyFill="1" applyBorder="1" applyAlignment="1">
      <alignment horizontal="left" vertical="center" wrapText="1"/>
    </xf>
    <xf numFmtId="166" fontId="11" fillId="0" borderId="6" xfId="0" applyNumberFormat="1" applyFont="1" applyFill="1" applyBorder="1" applyAlignment="1">
      <alignment horizontal="right"/>
    </xf>
    <xf numFmtId="166" fontId="11" fillId="0" borderId="20" xfId="0" applyNumberFormat="1" applyFont="1" applyFill="1" applyBorder="1" applyAlignment="1">
      <alignment horizontal="right"/>
    </xf>
    <xf numFmtId="0" fontId="11" fillId="0" borderId="22" xfId="0" applyFont="1" applyFill="1" applyBorder="1" applyAlignment="1">
      <alignment horizontal="center" wrapText="1"/>
    </xf>
    <xf numFmtId="166" fontId="11" fillId="0" borderId="22" xfId="0" applyNumberFormat="1" applyFont="1" applyFill="1" applyBorder="1" applyAlignment="1">
      <alignment horizontal="right"/>
    </xf>
    <xf numFmtId="166" fontId="11" fillId="0" borderId="7" xfId="0" applyNumberFormat="1" applyFont="1" applyFill="1" applyBorder="1" applyAlignment="1">
      <alignment horizontal="right"/>
    </xf>
    <xf numFmtId="166" fontId="15" fillId="0" borderId="0" xfId="0" applyNumberFormat="1" applyFont="1" applyFill="1"/>
    <xf numFmtId="0" fontId="11" fillId="0" borderId="22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vertical="center" wrapText="1"/>
    </xf>
    <xf numFmtId="167" fontId="11" fillId="0" borderId="7" xfId="0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 wrapText="1"/>
    </xf>
    <xf numFmtId="167" fontId="11" fillId="0" borderId="20" xfId="0" applyNumberFormat="1" applyFont="1" applyFill="1" applyBorder="1" applyAlignment="1">
      <alignment horizontal="center"/>
    </xf>
    <xf numFmtId="0" fontId="11" fillId="0" borderId="6" xfId="0" applyFont="1" applyFill="1" applyBorder="1" applyAlignment="1">
      <alignment vertical="center"/>
    </xf>
    <xf numFmtId="0" fontId="11" fillId="0" borderId="20" xfId="0" applyFont="1" applyFill="1" applyBorder="1" applyAlignment="1">
      <alignment vertical="center" wrapText="1"/>
    </xf>
    <xf numFmtId="0" fontId="11" fillId="0" borderId="22" xfId="0" applyFont="1" applyFill="1" applyBorder="1" applyAlignment="1">
      <alignment vertical="center"/>
    </xf>
    <xf numFmtId="166" fontId="11" fillId="0" borderId="22" xfId="0" applyNumberFormat="1" applyFont="1" applyFill="1" applyBorder="1" applyAlignment="1">
      <alignment vertical="center"/>
    </xf>
    <xf numFmtId="0" fontId="11" fillId="0" borderId="22" xfId="0" applyFont="1" applyFill="1" applyBorder="1" applyAlignment="1">
      <alignment vertical="center" wrapText="1"/>
    </xf>
    <xf numFmtId="167" fontId="34" fillId="0" borderId="0" xfId="0" applyNumberFormat="1" applyFont="1" applyFill="1"/>
    <xf numFmtId="0" fontId="11" fillId="0" borderId="7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0" xfId="0" applyFont="1" applyFill="1" applyBorder="1" applyAlignment="1">
      <alignment horizontal="left" vertical="center" wrapText="1"/>
    </xf>
    <xf numFmtId="167" fontId="11" fillId="0" borderId="6" xfId="0" applyNumberFormat="1" applyFont="1" applyFill="1" applyBorder="1" applyAlignment="1">
      <alignment horizontal="right" vertical="center"/>
    </xf>
    <xf numFmtId="167" fontId="11" fillId="5" borderId="21" xfId="0" applyNumberFormat="1" applyFont="1" applyFill="1" applyBorder="1" applyAlignment="1">
      <alignment horizontal="right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67" fontId="11" fillId="5" borderId="2" xfId="0" applyNumberFormat="1" applyFont="1" applyFill="1" applyBorder="1" applyAlignment="1">
      <alignment horizontal="right"/>
    </xf>
    <xf numFmtId="166" fontId="11" fillId="0" borderId="2" xfId="0" applyNumberFormat="1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15" fillId="0" borderId="0" xfId="0" applyFont="1"/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167" fontId="11" fillId="0" borderId="2" xfId="0" applyNumberFormat="1" applyFont="1" applyBorder="1" applyAlignment="1">
      <alignment horizontal="right"/>
    </xf>
    <xf numFmtId="167" fontId="11" fillId="0" borderId="2" xfId="0" applyNumberFormat="1" applyFont="1" applyBorder="1" applyAlignment="1">
      <alignment horizontal="right" vertical="center"/>
    </xf>
    <xf numFmtId="0" fontId="11" fillId="0" borderId="21" xfId="0" applyFont="1" applyBorder="1" applyAlignment="1">
      <alignment horizontal="center"/>
    </xf>
    <xf numFmtId="167" fontId="11" fillId="0" borderId="21" xfId="0" applyNumberFormat="1" applyFont="1" applyBorder="1" applyAlignment="1">
      <alignment horizontal="right"/>
    </xf>
    <xf numFmtId="167" fontId="11" fillId="0" borderId="21" xfId="0" applyNumberFormat="1" applyFont="1" applyBorder="1" applyAlignment="1">
      <alignment horizontal="right" vertical="center"/>
    </xf>
    <xf numFmtId="0" fontId="11" fillId="0" borderId="21" xfId="0" applyFont="1" applyBorder="1" applyAlignment="1">
      <alignment vertical="center" wrapText="1"/>
    </xf>
    <xf numFmtId="167" fontId="0" fillId="0" borderId="0" xfId="0" applyNumberFormat="1"/>
    <xf numFmtId="167" fontId="15" fillId="0" borderId="0" xfId="0" applyNumberFormat="1" applyFont="1"/>
    <xf numFmtId="0" fontId="11" fillId="0" borderId="6" xfId="0" applyFont="1" applyBorder="1" applyAlignment="1">
      <alignment horizontal="center"/>
    </xf>
    <xf numFmtId="167" fontId="11" fillId="0" borderId="6" xfId="0" applyNumberFormat="1" applyFont="1" applyBorder="1" applyAlignment="1">
      <alignment horizontal="right"/>
    </xf>
    <xf numFmtId="167" fontId="11" fillId="0" borderId="6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167" fontId="11" fillId="0" borderId="7" xfId="0" applyNumberFormat="1" applyFont="1" applyBorder="1" applyAlignment="1">
      <alignment horizontal="right"/>
    </xf>
    <xf numFmtId="167" fontId="11" fillId="0" borderId="7" xfId="0" applyNumberFormat="1" applyFont="1" applyBorder="1" applyAlignment="1">
      <alignment horizontal="right" vertical="center"/>
    </xf>
    <xf numFmtId="0" fontId="11" fillId="0" borderId="7" xfId="0" applyFont="1" applyBorder="1" applyAlignment="1">
      <alignment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/>
    </xf>
    <xf numFmtId="167" fontId="11" fillId="0" borderId="22" xfId="0" applyNumberFormat="1" applyFont="1" applyBorder="1" applyAlignment="1">
      <alignment horizontal="right"/>
    </xf>
    <xf numFmtId="167" fontId="11" fillId="0" borderId="22" xfId="0" applyNumberFormat="1" applyFont="1" applyBorder="1" applyAlignment="1">
      <alignment horizontal="right" vertical="center"/>
    </xf>
    <xf numFmtId="0" fontId="11" fillId="0" borderId="22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wrapText="1"/>
    </xf>
    <xf numFmtId="166" fontId="11" fillId="0" borderId="21" xfId="0" applyNumberFormat="1" applyFont="1" applyBorder="1" applyAlignment="1">
      <alignment horizontal="right"/>
    </xf>
    <xf numFmtId="0" fontId="11" fillId="0" borderId="21" xfId="0" applyFont="1" applyBorder="1" applyAlignment="1">
      <alignment horizontal="left" vertical="center" wrapText="1"/>
    </xf>
    <xf numFmtId="166" fontId="11" fillId="0" borderId="7" xfId="0" applyNumberFormat="1" applyFont="1" applyBorder="1" applyAlignment="1">
      <alignment horizontal="right"/>
    </xf>
    <xf numFmtId="166" fontId="11" fillId="0" borderId="2" xfId="0" applyNumberFormat="1" applyFont="1" applyBorder="1" applyAlignment="1">
      <alignment horizontal="right"/>
    </xf>
    <xf numFmtId="167" fontId="11" fillId="0" borderId="1" xfId="0" applyNumberFormat="1" applyFont="1" applyBorder="1" applyAlignment="1">
      <alignment horizontal="right"/>
    </xf>
    <xf numFmtId="166" fontId="11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167" fontId="11" fillId="0" borderId="20" xfId="0" applyNumberFormat="1" applyFont="1" applyBorder="1" applyAlignment="1">
      <alignment horizontal="right"/>
    </xf>
    <xf numFmtId="166" fontId="11" fillId="0" borderId="20" xfId="0" applyNumberFormat="1" applyFont="1" applyBorder="1" applyAlignment="1">
      <alignment horizontal="right"/>
    </xf>
    <xf numFmtId="0" fontId="11" fillId="0" borderId="22" xfId="0" applyFont="1" applyBorder="1" applyAlignment="1">
      <alignment horizontal="center" vertical="center" wrapText="1"/>
    </xf>
    <xf numFmtId="166" fontId="11" fillId="0" borderId="22" xfId="0" applyNumberFormat="1" applyFont="1" applyBorder="1" applyAlignment="1">
      <alignment horizontal="right"/>
    </xf>
    <xf numFmtId="166" fontId="0" fillId="0" borderId="0" xfId="0" applyNumberFormat="1"/>
    <xf numFmtId="166" fontId="15" fillId="0" borderId="0" xfId="0" applyNumberFormat="1" applyFont="1"/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/>
    </xf>
    <xf numFmtId="167" fontId="11" fillId="0" borderId="10" xfId="0" applyNumberFormat="1" applyFont="1" applyBorder="1" applyAlignment="1">
      <alignment horizontal="right"/>
    </xf>
    <xf numFmtId="166" fontId="11" fillId="0" borderId="10" xfId="0" applyNumberFormat="1" applyFont="1" applyBorder="1" applyAlignment="1">
      <alignment horizontal="right"/>
    </xf>
    <xf numFmtId="0" fontId="11" fillId="0" borderId="1" xfId="0" applyFont="1" applyBorder="1" applyAlignment="1">
      <alignment horizontal="left" vertical="center" wrapText="1"/>
    </xf>
    <xf numFmtId="166" fontId="11" fillId="0" borderId="6" xfId="0" applyNumberFormat="1" applyFont="1" applyBorder="1" applyAlignment="1">
      <alignment horizontal="right"/>
    </xf>
    <xf numFmtId="0" fontId="11" fillId="0" borderId="20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center"/>
    </xf>
    <xf numFmtId="167" fontId="11" fillId="0" borderId="14" xfId="0" applyNumberFormat="1" applyFont="1" applyBorder="1" applyAlignment="1">
      <alignment horizontal="right"/>
    </xf>
    <xf numFmtId="0" fontId="11" fillId="0" borderId="6" xfId="0" applyFont="1" applyBorder="1" applyAlignment="1">
      <alignment vertical="center" wrapText="1"/>
    </xf>
    <xf numFmtId="166" fontId="11" fillId="0" borderId="21" xfId="0" applyNumberFormat="1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22" xfId="0" applyFont="1" applyBorder="1" applyAlignment="1">
      <alignment vertical="center" wrapText="1"/>
    </xf>
    <xf numFmtId="166" fontId="11" fillId="0" borderId="14" xfId="0" applyNumberFormat="1" applyFont="1" applyBorder="1" applyAlignment="1">
      <alignment horizontal="right"/>
    </xf>
    <xf numFmtId="0" fontId="11" fillId="0" borderId="20" xfId="0" applyFont="1" applyBorder="1" applyAlignment="1">
      <alignment vertical="center" wrapText="1"/>
    </xf>
    <xf numFmtId="0" fontId="11" fillId="0" borderId="6" xfId="0" applyFont="1" applyBorder="1" applyAlignment="1">
      <alignment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167" fontId="10" fillId="0" borderId="2" xfId="0" applyNumberFormat="1" applyFont="1" applyBorder="1" applyAlignment="1">
      <alignment horizontal="right"/>
    </xf>
    <xf numFmtId="167" fontId="34" fillId="0" borderId="0" xfId="0" applyNumberFormat="1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67" fontId="10" fillId="0" borderId="0" xfId="0" applyNumberFormat="1" applyFont="1" applyAlignment="1">
      <alignment horizontal="right"/>
    </xf>
    <xf numFmtId="167" fontId="10" fillId="0" borderId="0" xfId="0" applyNumberFormat="1" applyFont="1"/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/>
    </xf>
    <xf numFmtId="0" fontId="35" fillId="0" borderId="0" xfId="0" applyFont="1" applyFill="1"/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  <xf numFmtId="167" fontId="11" fillId="0" borderId="0" xfId="0" applyNumberFormat="1" applyFont="1" applyFill="1" applyBorder="1" applyAlignment="1">
      <alignment horizontal="right"/>
    </xf>
    <xf numFmtId="0" fontId="11" fillId="0" borderId="2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/>
    </xf>
    <xf numFmtId="0" fontId="11" fillId="0" borderId="14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0" fillId="2" borderId="0" xfId="0" applyFont="1" applyFill="1"/>
    <xf numFmtId="0" fontId="13" fillId="2" borderId="0" xfId="0" applyFont="1" applyFill="1"/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/>
    </xf>
    <xf numFmtId="167" fontId="11" fillId="2" borderId="2" xfId="0" applyNumberFormat="1" applyFont="1" applyFill="1" applyBorder="1" applyAlignment="1">
      <alignment horizontal="right"/>
    </xf>
    <xf numFmtId="167" fontId="11" fillId="2" borderId="2" xfId="0" applyNumberFormat="1" applyFont="1" applyFill="1" applyBorder="1" applyAlignment="1">
      <alignment horizontal="right" vertical="center"/>
    </xf>
    <xf numFmtId="166" fontId="11" fillId="2" borderId="2" xfId="0" applyNumberFormat="1" applyFont="1" applyFill="1" applyBorder="1" applyAlignment="1">
      <alignment horizontal="right"/>
    </xf>
    <xf numFmtId="166" fontId="11" fillId="2" borderId="2" xfId="0" applyNumberFormat="1" applyFont="1" applyFill="1" applyBorder="1" applyAlignment="1">
      <alignment vertical="center"/>
    </xf>
    <xf numFmtId="167" fontId="11" fillId="2" borderId="6" xfId="0" applyNumberFormat="1" applyFont="1" applyFill="1" applyBorder="1" applyAlignment="1">
      <alignment horizontal="right" vertical="center"/>
    </xf>
    <xf numFmtId="167" fontId="11" fillId="2" borderId="6" xfId="0" applyNumberFormat="1" applyFont="1" applyFill="1" applyBorder="1" applyAlignment="1">
      <alignment horizontal="right"/>
    </xf>
    <xf numFmtId="166" fontId="11" fillId="2" borderId="6" xfId="0" applyNumberFormat="1" applyFont="1" applyFill="1" applyBorder="1" applyAlignment="1">
      <alignment horizontal="right"/>
    </xf>
    <xf numFmtId="167" fontId="10" fillId="2" borderId="2" xfId="0" applyNumberFormat="1" applyFont="1" applyFill="1" applyBorder="1" applyAlignment="1">
      <alignment horizontal="center"/>
    </xf>
    <xf numFmtId="167" fontId="11" fillId="2" borderId="0" xfId="0" applyNumberFormat="1" applyFont="1" applyFill="1" applyBorder="1" applyAlignment="1">
      <alignment horizontal="right"/>
    </xf>
    <xf numFmtId="166" fontId="11" fillId="2" borderId="0" xfId="0" applyNumberFormat="1" applyFont="1" applyFill="1" applyBorder="1" applyAlignment="1">
      <alignment horizontal="right"/>
    </xf>
    <xf numFmtId="167" fontId="10" fillId="2" borderId="0" xfId="0" applyNumberFormat="1" applyFont="1" applyFill="1" applyBorder="1" applyAlignment="1"/>
    <xf numFmtId="0" fontId="11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0" fillId="2" borderId="0" xfId="0" applyFont="1" applyFill="1" applyBorder="1"/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Fill="1" applyAlignment="1">
      <alignment horizontal="center" vertical="center"/>
    </xf>
    <xf numFmtId="0" fontId="11" fillId="2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 wrapText="1"/>
    </xf>
    <xf numFmtId="0" fontId="11" fillId="0" borderId="2" xfId="1" applyFont="1" applyFill="1" applyBorder="1" applyAlignment="1">
      <alignment horizontal="center" wrapText="1"/>
    </xf>
    <xf numFmtId="166" fontId="4" fillId="0" borderId="2" xfId="1" applyNumberFormat="1" applyFont="1" applyFill="1" applyBorder="1"/>
    <xf numFmtId="166" fontId="24" fillId="0" borderId="2" xfId="1" applyNumberFormat="1" applyFont="1" applyFill="1" applyBorder="1"/>
    <xf numFmtId="166" fontId="8" fillId="0" borderId="2" xfId="1" applyNumberFormat="1" applyFont="1" applyFill="1" applyBorder="1"/>
    <xf numFmtId="166" fontId="5" fillId="0" borderId="2" xfId="1" applyNumberFormat="1" applyFont="1" applyFill="1" applyBorder="1"/>
    <xf numFmtId="166" fontId="20" fillId="0" borderId="2" xfId="1" applyNumberFormat="1" applyFont="1" applyFill="1" applyBorder="1"/>
    <xf numFmtId="166" fontId="9" fillId="0" borderId="2" xfId="1" applyNumberFormat="1" applyFont="1" applyFill="1" applyBorder="1"/>
    <xf numFmtId="166" fontId="6" fillId="0" borderId="2" xfId="1" applyNumberFormat="1" applyFont="1" applyFill="1" applyBorder="1"/>
    <xf numFmtId="166" fontId="12" fillId="0" borderId="2" xfId="0" applyNumberFormat="1" applyFont="1" applyFill="1" applyBorder="1"/>
    <xf numFmtId="166" fontId="11" fillId="0" borderId="2" xfId="1" applyNumberFormat="1" applyFont="1" applyFill="1" applyBorder="1"/>
    <xf numFmtId="166" fontId="13" fillId="0" borderId="2" xfId="0" applyNumberFormat="1" applyFont="1" applyFill="1" applyBorder="1"/>
    <xf numFmtId="0" fontId="11" fillId="0" borderId="0" xfId="0" applyFont="1"/>
    <xf numFmtId="0" fontId="10" fillId="0" borderId="0" xfId="0" applyFont="1"/>
    <xf numFmtId="0" fontId="10" fillId="0" borderId="2" xfId="7" applyFont="1" applyBorder="1" applyAlignment="1">
      <alignment horizontal="center" vertical="center" textRotation="90" wrapText="1"/>
    </xf>
    <xf numFmtId="0" fontId="10" fillId="0" borderId="2" xfId="7" applyFont="1" applyBorder="1" applyAlignment="1">
      <alignment horizontal="center" vertical="center" wrapText="1"/>
    </xf>
    <xf numFmtId="49" fontId="10" fillId="0" borderId="2" xfId="7" applyNumberFormat="1" applyFont="1" applyBorder="1" applyAlignment="1">
      <alignment horizontal="center" vertical="center" wrapText="1"/>
    </xf>
    <xf numFmtId="0" fontId="11" fillId="0" borderId="2" xfId="7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right" vertical="center" wrapText="1"/>
    </xf>
    <xf numFmtId="2" fontId="13" fillId="0" borderId="2" xfId="0" applyNumberFormat="1" applyFont="1" applyBorder="1" applyAlignment="1">
      <alignment horizontal="right" vertical="center" wrapText="1"/>
    </xf>
    <xf numFmtId="1" fontId="11" fillId="0" borderId="2" xfId="7" applyNumberFormat="1" applyFont="1" applyBorder="1" applyAlignment="1">
      <alignment horizontal="right" vertical="center" wrapText="1" shrinkToFit="1"/>
    </xf>
    <xf numFmtId="9" fontId="11" fillId="0" borderId="2" xfId="8" applyFont="1" applyFill="1" applyBorder="1" applyAlignment="1">
      <alignment horizontal="right" vertical="center" wrapText="1"/>
    </xf>
    <xf numFmtId="1" fontId="11" fillId="0" borderId="2" xfId="7" applyNumberFormat="1" applyFont="1" applyBorder="1" applyAlignment="1">
      <alignment horizontal="right" vertical="center" wrapText="1"/>
    </xf>
    <xf numFmtId="1" fontId="16" fillId="0" borderId="2" xfId="9" applyNumberFormat="1" applyFont="1" applyFill="1" applyBorder="1" applyAlignment="1">
      <alignment horizontal="right" vertical="center"/>
    </xf>
    <xf numFmtId="1" fontId="11" fillId="0" borderId="2" xfId="8" applyNumberFormat="1" applyFont="1" applyFill="1" applyBorder="1" applyAlignment="1">
      <alignment horizontal="right" vertical="center" wrapText="1"/>
    </xf>
    <xf numFmtId="9" fontId="11" fillId="0" borderId="2" xfId="10" applyFont="1" applyFill="1" applyBorder="1" applyAlignment="1">
      <alignment horizontal="right" vertical="center" wrapText="1"/>
    </xf>
    <xf numFmtId="1" fontId="11" fillId="0" borderId="2" xfId="9" applyNumberFormat="1" applyFont="1" applyFill="1" applyBorder="1" applyAlignment="1">
      <alignment horizontal="right" vertical="center"/>
    </xf>
    <xf numFmtId="0" fontId="13" fillId="0" borderId="2" xfId="0" applyFont="1" applyBorder="1" applyAlignment="1">
      <alignment wrapText="1"/>
    </xf>
    <xf numFmtId="0" fontId="13" fillId="0" borderId="2" xfId="0" applyFont="1" applyBorder="1" applyAlignment="1">
      <alignment vertical="center" wrapText="1"/>
    </xf>
    <xf numFmtId="167" fontId="13" fillId="0" borderId="2" xfId="0" applyNumberFormat="1" applyFont="1" applyBorder="1" applyAlignment="1">
      <alignment horizontal="right" vertical="center" wrapText="1"/>
    </xf>
    <xf numFmtId="0" fontId="12" fillId="0" borderId="2" xfId="7" applyFont="1" applyBorder="1"/>
    <xf numFmtId="49" fontId="10" fillId="0" borderId="2" xfId="7" applyNumberFormat="1" applyFont="1" applyBorder="1" applyAlignment="1">
      <alignment horizontal="center" wrapText="1"/>
    </xf>
    <xf numFmtId="167" fontId="12" fillId="0" borderId="2" xfId="7" applyNumberFormat="1" applyFont="1" applyBorder="1" applyAlignment="1">
      <alignment horizontal="right" vertical="center"/>
    </xf>
    <xf numFmtId="1" fontId="12" fillId="0" borderId="2" xfId="7" applyNumberFormat="1" applyFont="1" applyBorder="1" applyAlignment="1">
      <alignment horizontal="right" vertical="center"/>
    </xf>
    <xf numFmtId="0" fontId="37" fillId="0" borderId="0" xfId="0" applyFont="1"/>
    <xf numFmtId="167" fontId="13" fillId="0" borderId="0" xfId="0" applyNumberFormat="1" applyFont="1"/>
    <xf numFmtId="167" fontId="12" fillId="0" borderId="0" xfId="0" applyNumberFormat="1" applyFont="1"/>
    <xf numFmtId="0" fontId="40" fillId="0" borderId="0" xfId="0" applyFont="1"/>
    <xf numFmtId="0" fontId="41" fillId="0" borderId="0" xfId="0" applyFont="1"/>
    <xf numFmtId="0" fontId="42" fillId="0" borderId="0" xfId="0" applyFont="1" applyAlignment="1">
      <alignment horizontal="right"/>
    </xf>
    <xf numFmtId="3" fontId="42" fillId="0" borderId="0" xfId="0" applyNumberFormat="1" applyFont="1" applyAlignment="1">
      <alignment horizontal="right"/>
    </xf>
    <xf numFmtId="3" fontId="43" fillId="0" borderId="0" xfId="0" applyNumberFormat="1" applyFont="1" applyAlignment="1">
      <alignment horizontal="right"/>
    </xf>
    <xf numFmtId="0" fontId="44" fillId="0" borderId="2" xfId="7" applyFont="1" applyBorder="1" applyAlignment="1">
      <alignment horizontal="center" vertical="center" textRotation="90" wrapText="1"/>
    </xf>
    <xf numFmtId="0" fontId="44" fillId="0" borderId="2" xfId="7" applyFont="1" applyBorder="1" applyAlignment="1">
      <alignment horizontal="center" vertical="center" wrapText="1"/>
    </xf>
    <xf numFmtId="49" fontId="44" fillId="0" borderId="2" xfId="7" applyNumberFormat="1" applyFont="1" applyBorder="1" applyAlignment="1">
      <alignment horizontal="center" vertical="center" wrapText="1"/>
    </xf>
    <xf numFmtId="0" fontId="43" fillId="0" borderId="2" xfId="7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/>
    </xf>
    <xf numFmtId="1" fontId="43" fillId="0" borderId="2" xfId="7" applyNumberFormat="1" applyFont="1" applyBorder="1" applyAlignment="1">
      <alignment horizontal="center" vertical="center" wrapText="1" shrinkToFit="1"/>
    </xf>
    <xf numFmtId="9" fontId="43" fillId="0" borderId="2" xfId="8" applyFont="1" applyFill="1" applyBorder="1" applyAlignment="1">
      <alignment horizontal="center" vertical="center" wrapText="1"/>
    </xf>
    <xf numFmtId="1" fontId="43" fillId="0" borderId="2" xfId="7" applyNumberFormat="1" applyFont="1" applyBorder="1" applyAlignment="1">
      <alignment horizontal="center" vertical="center" wrapText="1"/>
    </xf>
    <xf numFmtId="9" fontId="43" fillId="0" borderId="2" xfId="10" applyFont="1" applyBorder="1" applyAlignment="1">
      <alignment horizontal="center" vertical="center" wrapText="1"/>
    </xf>
    <xf numFmtId="3" fontId="43" fillId="0" borderId="2" xfId="7" applyNumberFormat="1" applyFont="1" applyBorder="1" applyAlignment="1">
      <alignment horizontal="center" vertical="center" wrapText="1"/>
    </xf>
    <xf numFmtId="1" fontId="41" fillId="0" borderId="0" xfId="0" applyNumberFormat="1" applyFont="1"/>
    <xf numFmtId="1" fontId="44" fillId="0" borderId="2" xfId="7" applyNumberFormat="1" applyFont="1" applyBorder="1" applyAlignment="1">
      <alignment horizontal="center" vertical="center" wrapText="1"/>
    </xf>
    <xf numFmtId="3" fontId="44" fillId="0" borderId="2" xfId="7" applyNumberFormat="1" applyFont="1" applyBorder="1" applyAlignment="1">
      <alignment horizontal="center" vertical="center" wrapText="1"/>
    </xf>
    <xf numFmtId="167" fontId="41" fillId="0" borderId="0" xfId="0" applyNumberFormat="1" applyFont="1"/>
    <xf numFmtId="0" fontId="44" fillId="0" borderId="0" xfId="1" applyFont="1"/>
    <xf numFmtId="167" fontId="48" fillId="0" borderId="0" xfId="0" applyNumberFormat="1" applyFont="1"/>
    <xf numFmtId="167" fontId="11" fillId="2" borderId="2" xfId="0" applyNumberFormat="1" applyFont="1" applyFill="1" applyBorder="1" applyAlignment="1">
      <alignment vertical="center"/>
    </xf>
    <xf numFmtId="167" fontId="11" fillId="2" borderId="6" xfId="0" applyNumberFormat="1" applyFont="1" applyFill="1" applyBorder="1" applyAlignment="1">
      <alignment vertical="center"/>
    </xf>
    <xf numFmtId="166" fontId="11" fillId="2" borderId="6" xfId="0" applyNumberFormat="1" applyFont="1" applyFill="1" applyBorder="1" applyAlignment="1">
      <alignment vertical="center"/>
    </xf>
    <xf numFmtId="167" fontId="11" fillId="2" borderId="20" xfId="0" applyNumberFormat="1" applyFont="1" applyFill="1" applyBorder="1" applyAlignment="1">
      <alignment vertical="center"/>
    </xf>
    <xf numFmtId="166" fontId="11" fillId="2" borderId="20" xfId="0" applyNumberFormat="1" applyFont="1" applyFill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66" fontId="28" fillId="0" borderId="2" xfId="1" applyNumberFormat="1" applyFont="1" applyBorder="1"/>
    <xf numFmtId="0" fontId="20" fillId="0" borderId="2" xfId="1" applyFont="1" applyBorder="1"/>
    <xf numFmtId="0" fontId="4" fillId="0" borderId="2" xfId="1" applyFont="1" applyBorder="1"/>
    <xf numFmtId="0" fontId="7" fillId="0" borderId="2" xfId="1" applyFont="1" applyBorder="1" applyAlignment="1">
      <alignment horizontal="center"/>
    </xf>
    <xf numFmtId="0" fontId="44" fillId="0" borderId="0" xfId="7" applyFont="1" applyBorder="1" applyAlignment="1">
      <alignment horizontal="center" vertical="center" wrapText="1"/>
    </xf>
    <xf numFmtId="1" fontId="44" fillId="0" borderId="0" xfId="7" applyNumberFormat="1" applyFont="1" applyBorder="1" applyAlignment="1">
      <alignment horizontal="center" vertical="center" wrapText="1"/>
    </xf>
    <xf numFmtId="3" fontId="44" fillId="0" borderId="0" xfId="7" applyNumberFormat="1" applyFont="1" applyBorder="1" applyAlignment="1">
      <alignment horizontal="center" vertical="center" wrapText="1"/>
    </xf>
    <xf numFmtId="0" fontId="43" fillId="0" borderId="4" xfId="3" applyFont="1" applyBorder="1" applyAlignment="1">
      <alignment horizontal="left"/>
    </xf>
    <xf numFmtId="0" fontId="40" fillId="0" borderId="2" xfId="0" applyFont="1" applyBorder="1" applyAlignment="1">
      <alignment horizontal="right" vertical="center" wrapText="1"/>
    </xf>
    <xf numFmtId="1" fontId="43" fillId="0" borderId="2" xfId="7" applyNumberFormat="1" applyFont="1" applyBorder="1" applyAlignment="1">
      <alignment horizontal="right" vertical="center" wrapText="1" shrinkToFit="1"/>
    </xf>
    <xf numFmtId="9" fontId="43" fillId="0" borderId="2" xfId="8" applyFont="1" applyFill="1" applyBorder="1" applyAlignment="1">
      <alignment horizontal="right" vertical="center" wrapText="1"/>
    </xf>
    <xf numFmtId="1" fontId="43" fillId="0" borderId="2" xfId="7" applyNumberFormat="1" applyFont="1" applyBorder="1" applyAlignment="1">
      <alignment horizontal="right" vertical="center" wrapText="1"/>
    </xf>
    <xf numFmtId="1" fontId="49" fillId="0" borderId="2" xfId="2" applyNumberFormat="1" applyFont="1" applyFill="1" applyBorder="1" applyAlignment="1">
      <alignment horizontal="right" vertical="center"/>
    </xf>
    <xf numFmtId="0" fontId="43" fillId="0" borderId="2" xfId="7" applyFont="1" applyBorder="1" applyAlignment="1">
      <alignment horizontal="right" vertical="center" wrapText="1"/>
    </xf>
    <xf numFmtId="1" fontId="43" fillId="0" borderId="2" xfId="8" applyNumberFormat="1" applyFont="1" applyFill="1" applyBorder="1" applyAlignment="1">
      <alignment horizontal="right" vertical="center" wrapText="1"/>
    </xf>
    <xf numFmtId="1" fontId="40" fillId="0" borderId="2" xfId="7" applyNumberFormat="1" applyFont="1" applyBorder="1" applyAlignment="1">
      <alignment horizontal="right" vertical="center" wrapText="1"/>
    </xf>
    <xf numFmtId="1" fontId="40" fillId="0" borderId="2" xfId="0" applyNumberFormat="1" applyFont="1" applyBorder="1" applyAlignment="1">
      <alignment horizontal="right" vertical="center" wrapText="1"/>
    </xf>
    <xf numFmtId="0" fontId="44" fillId="0" borderId="4" xfId="3" applyFont="1" applyBorder="1" applyAlignment="1">
      <alignment horizontal="center"/>
    </xf>
    <xf numFmtId="0" fontId="50" fillId="0" borderId="2" xfId="0" applyFont="1" applyBorder="1" applyAlignment="1">
      <alignment horizontal="right" vertical="center" wrapText="1"/>
    </xf>
    <xf numFmtId="1" fontId="43" fillId="0" borderId="2" xfId="2" applyNumberFormat="1" applyFont="1" applyFill="1" applyBorder="1" applyAlignment="1">
      <alignment horizontal="right" vertical="center"/>
    </xf>
    <xf numFmtId="167" fontId="43" fillId="0" borderId="2" xfId="2" applyNumberFormat="1" applyFont="1" applyFill="1" applyBorder="1" applyAlignment="1">
      <alignment horizontal="right" vertical="center" wrapText="1"/>
    </xf>
    <xf numFmtId="0" fontId="43" fillId="0" borderId="2" xfId="7" applyFont="1" applyBorder="1" applyAlignment="1">
      <alignment horizontal="right" vertical="center" wrapText="1" shrinkToFit="1"/>
    </xf>
    <xf numFmtId="1" fontId="44" fillId="0" borderId="2" xfId="7" applyNumberFormat="1" applyFont="1" applyBorder="1" applyAlignment="1">
      <alignment vertical="center" wrapText="1"/>
    </xf>
    <xf numFmtId="0" fontId="43" fillId="0" borderId="2" xfId="0" applyFont="1" applyBorder="1" applyAlignment="1">
      <alignment horizontal="left"/>
    </xf>
    <xf numFmtId="167" fontId="40" fillId="0" borderId="2" xfId="0" applyNumberFormat="1" applyFont="1" applyBorder="1" applyAlignment="1">
      <alignment horizontal="right" vertical="center" wrapText="1"/>
    </xf>
    <xf numFmtId="0" fontId="43" fillId="0" borderId="2" xfId="0" applyFont="1" applyBorder="1" applyAlignment="1">
      <alignment horizontal="left" wrapText="1"/>
    </xf>
    <xf numFmtId="0" fontId="44" fillId="0" borderId="2" xfId="7" applyFont="1" applyBorder="1" applyAlignment="1">
      <alignment vertical="center" wrapText="1"/>
    </xf>
    <xf numFmtId="167" fontId="44" fillId="0" borderId="2" xfId="7" applyNumberFormat="1" applyFont="1" applyBorder="1" applyAlignment="1">
      <alignment vertical="center" wrapText="1"/>
    </xf>
    <xf numFmtId="0" fontId="50" fillId="0" borderId="2" xfId="7" applyFont="1" applyBorder="1"/>
    <xf numFmtId="49" fontId="44" fillId="0" borderId="2" xfId="7" applyNumberFormat="1" applyFont="1" applyBorder="1" applyAlignment="1">
      <alignment horizontal="center" wrapText="1"/>
    </xf>
    <xf numFmtId="1" fontId="50" fillId="0" borderId="2" xfId="7" applyNumberFormat="1" applyFont="1" applyBorder="1" applyAlignment="1">
      <alignment horizontal="right" vertical="center"/>
    </xf>
    <xf numFmtId="0" fontId="43" fillId="0" borderId="4" xfId="3" applyFont="1" applyBorder="1" applyAlignment="1">
      <alignment horizontal="left" vertical="center"/>
    </xf>
    <xf numFmtId="0" fontId="43" fillId="0" borderId="2" xfId="0" applyFont="1" applyBorder="1" applyAlignment="1">
      <alignment horizontal="left" vertical="center" wrapText="1"/>
    </xf>
    <xf numFmtId="9" fontId="43" fillId="0" borderId="2" xfId="10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 wrapText="1"/>
    </xf>
    <xf numFmtId="2" fontId="0" fillId="0" borderId="0" xfId="0" applyNumberFormat="1"/>
    <xf numFmtId="0" fontId="11" fillId="2" borderId="2" xfId="0" applyFont="1" applyFill="1" applyBorder="1" applyAlignment="1">
      <alignment horizontal="center" vertical="center"/>
    </xf>
    <xf numFmtId="167" fontId="0" fillId="2" borderId="0" xfId="0" applyNumberFormat="1" applyFont="1" applyFill="1"/>
    <xf numFmtId="167" fontId="15" fillId="2" borderId="0" xfId="0" applyNumberFormat="1" applyFont="1" applyFill="1"/>
    <xf numFmtId="0" fontId="15" fillId="2" borderId="0" xfId="0" applyFont="1" applyFill="1"/>
    <xf numFmtId="0" fontId="15" fillId="2" borderId="0" xfId="0" applyFont="1" applyFill="1" applyAlignment="1">
      <alignment horizontal="center" vertical="center"/>
    </xf>
    <xf numFmtId="0" fontId="42" fillId="0" borderId="0" xfId="0" applyFont="1" applyFill="1" applyAlignment="1">
      <alignment horizontal="right"/>
    </xf>
    <xf numFmtId="3" fontId="42" fillId="0" borderId="0" xfId="0" applyNumberFormat="1" applyFont="1" applyFill="1" applyAlignment="1">
      <alignment horizontal="right"/>
    </xf>
    <xf numFmtId="0" fontId="11" fillId="0" borderId="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wrapText="1"/>
    </xf>
    <xf numFmtId="0" fontId="11" fillId="0" borderId="2" xfId="1" applyFont="1" applyBorder="1" applyAlignment="1">
      <alignment horizontal="center"/>
    </xf>
    <xf numFmtId="0" fontId="13" fillId="0" borderId="2" xfId="1" applyFont="1" applyBorder="1" applyAlignment="1">
      <alignment horizontal="center" vertical="center" wrapText="1"/>
    </xf>
    <xf numFmtId="0" fontId="31" fillId="0" borderId="2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11" fillId="0" borderId="14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 wrapText="1"/>
    </xf>
    <xf numFmtId="0" fontId="11" fillId="0" borderId="20" xfId="0" applyFont="1" applyFill="1" applyBorder="1" applyAlignment="1">
      <alignment vertical="center" wrapText="1"/>
    </xf>
    <xf numFmtId="0" fontId="44" fillId="0" borderId="0" xfId="0" applyFont="1" applyAlignment="1">
      <alignment horizontal="center" vertical="top" wrapText="1"/>
    </xf>
    <xf numFmtId="0" fontId="44" fillId="0" borderId="1" xfId="7" applyFont="1" applyBorder="1" applyAlignment="1">
      <alignment horizontal="center" vertical="center" textRotation="90" wrapText="1"/>
    </xf>
    <xf numFmtId="0" fontId="44" fillId="0" borderId="14" xfId="7" applyFont="1" applyBorder="1" applyAlignment="1">
      <alignment horizontal="center" vertical="center" textRotation="90" wrapText="1"/>
    </xf>
    <xf numFmtId="0" fontId="44" fillId="0" borderId="6" xfId="7" applyFont="1" applyBorder="1" applyAlignment="1">
      <alignment horizontal="center" vertical="center" textRotation="90" wrapText="1"/>
    </xf>
    <xf numFmtId="0" fontId="44" fillId="0" borderId="1" xfId="7" applyFont="1" applyBorder="1" applyAlignment="1">
      <alignment horizontal="center" vertical="center" textRotation="90" wrapText="1" shrinkToFit="1"/>
    </xf>
    <xf numFmtId="0" fontId="44" fillId="0" borderId="14" xfId="7" applyFont="1" applyBorder="1" applyAlignment="1">
      <alignment horizontal="center" vertical="center" textRotation="90" wrapText="1" shrinkToFit="1"/>
    </xf>
    <xf numFmtId="0" fontId="44" fillId="0" borderId="6" xfId="7" applyFont="1" applyBorder="1" applyAlignment="1">
      <alignment horizontal="center" vertical="center" textRotation="90" wrapText="1" shrinkToFit="1"/>
    </xf>
    <xf numFmtId="0" fontId="44" fillId="0" borderId="3" xfId="7" applyFont="1" applyBorder="1" applyAlignment="1">
      <alignment horizontal="center" vertical="center" wrapText="1"/>
    </xf>
    <xf numFmtId="0" fontId="44" fillId="0" borderId="23" xfId="7" applyFont="1" applyBorder="1" applyAlignment="1">
      <alignment horizontal="center" vertical="center" wrapText="1"/>
    </xf>
    <xf numFmtId="0" fontId="44" fillId="0" borderId="4" xfId="7" applyFont="1" applyBorder="1" applyAlignment="1">
      <alignment horizontal="center" vertical="center" wrapText="1"/>
    </xf>
    <xf numFmtId="0" fontId="44" fillId="0" borderId="2" xfId="7" applyFont="1" applyBorder="1" applyAlignment="1">
      <alignment horizontal="center" vertical="center" textRotation="90" wrapText="1"/>
    </xf>
    <xf numFmtId="0" fontId="46" fillId="0" borderId="3" xfId="7" applyFont="1" applyBorder="1" applyAlignment="1">
      <alignment horizontal="center"/>
    </xf>
    <xf numFmtId="0" fontId="46" fillId="0" borderId="23" xfId="7" applyFont="1" applyBorder="1" applyAlignment="1">
      <alignment horizontal="center"/>
    </xf>
    <xf numFmtId="0" fontId="46" fillId="0" borderId="4" xfId="7" applyFont="1" applyBorder="1" applyAlignment="1">
      <alignment horizontal="center"/>
    </xf>
    <xf numFmtId="0" fontId="44" fillId="0" borderId="3" xfId="7" applyFont="1" applyBorder="1" applyAlignment="1">
      <alignment horizontal="center" vertical="center" textRotation="90" wrapText="1"/>
    </xf>
    <xf numFmtId="0" fontId="44" fillId="0" borderId="4" xfId="7" applyFont="1" applyBorder="1" applyAlignment="1">
      <alignment horizontal="center" vertical="center" textRotation="90" wrapText="1"/>
    </xf>
    <xf numFmtId="0" fontId="45" fillId="0" borderId="3" xfId="7" applyFont="1" applyBorder="1" applyAlignment="1">
      <alignment horizontal="center" vertical="center" textRotation="90" wrapText="1"/>
    </xf>
    <xf numFmtId="0" fontId="45" fillId="0" borderId="4" xfId="7" applyFont="1" applyBorder="1" applyAlignment="1">
      <alignment horizontal="center" vertical="center" textRotation="90" wrapText="1"/>
    </xf>
    <xf numFmtId="0" fontId="10" fillId="0" borderId="0" xfId="0" applyFont="1" applyAlignment="1">
      <alignment horizontal="center"/>
    </xf>
    <xf numFmtId="0" fontId="10" fillId="0" borderId="2" xfId="7" applyFont="1" applyBorder="1" applyAlignment="1">
      <alignment horizontal="center" vertical="center" textRotation="90" wrapText="1"/>
    </xf>
    <xf numFmtId="0" fontId="10" fillId="0" borderId="2" xfId="7" applyFont="1" applyBorder="1" applyAlignment="1">
      <alignment horizontal="center" vertical="center" textRotation="90" wrapText="1" shrinkToFit="1"/>
    </xf>
    <xf numFmtId="0" fontId="10" fillId="0" borderId="3" xfId="7" applyFont="1" applyBorder="1" applyAlignment="1">
      <alignment horizontal="center" vertical="center" wrapText="1"/>
    </xf>
    <xf numFmtId="0" fontId="10" fillId="0" borderId="23" xfId="7" applyFont="1" applyBorder="1" applyAlignment="1">
      <alignment horizontal="center" vertical="center" wrapText="1"/>
    </xf>
    <xf numFmtId="0" fontId="10" fillId="0" borderId="4" xfId="7" applyFont="1" applyBorder="1" applyAlignment="1">
      <alignment horizontal="center" vertical="center" wrapText="1"/>
    </xf>
    <xf numFmtId="0" fontId="38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0" fillId="0" borderId="1" xfId="7" applyFont="1" applyBorder="1" applyAlignment="1">
      <alignment horizontal="center" vertical="center" textRotation="90" wrapText="1"/>
    </xf>
    <xf numFmtId="0" fontId="10" fillId="0" borderId="6" xfId="7" applyFont="1" applyBorder="1" applyAlignment="1">
      <alignment horizontal="center" vertical="center" textRotation="90" wrapText="1"/>
    </xf>
    <xf numFmtId="0" fontId="10" fillId="0" borderId="3" xfId="7" applyFont="1" applyBorder="1" applyAlignment="1">
      <alignment horizontal="center" vertical="center" textRotation="90" wrapText="1"/>
    </xf>
    <xf numFmtId="0" fontId="10" fillId="0" borderId="4" xfId="7" applyFont="1" applyBorder="1" applyAlignment="1">
      <alignment horizontal="center" vertical="center" textRotation="90" wrapText="1"/>
    </xf>
    <xf numFmtId="0" fontId="36" fillId="0" borderId="3" xfId="7" applyFont="1" applyBorder="1" applyAlignment="1">
      <alignment horizontal="center" vertical="center" textRotation="90" wrapText="1"/>
    </xf>
    <xf numFmtId="0" fontId="36" fillId="0" borderId="4" xfId="7" applyFont="1" applyBorder="1" applyAlignment="1">
      <alignment horizontal="center" vertical="center" textRotation="90" wrapText="1"/>
    </xf>
    <xf numFmtId="0" fontId="11" fillId="0" borderId="14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0" fillId="0" borderId="11" xfId="0" applyNumberFormat="1" applyFont="1" applyFill="1" applyBorder="1" applyAlignment="1">
      <alignment horizontal="center" vertical="center" wrapText="1"/>
    </xf>
    <xf numFmtId="0" fontId="10" fillId="0" borderId="9" xfId="0" applyNumberFormat="1" applyFont="1" applyFill="1" applyBorder="1" applyAlignment="1">
      <alignment horizontal="center" vertical="center" wrapText="1"/>
    </xf>
    <xf numFmtId="0" fontId="10" fillId="0" borderId="16" xfId="0" applyNumberFormat="1" applyFont="1" applyFill="1" applyBorder="1" applyAlignment="1">
      <alignment horizontal="center" vertical="center" wrapText="1"/>
    </xf>
    <xf numFmtId="0" fontId="10" fillId="0" borderId="17" xfId="0" applyNumberFormat="1" applyFont="1" applyFill="1" applyBorder="1" applyAlignment="1">
      <alignment horizontal="center" vertical="center" wrapText="1"/>
    </xf>
    <xf numFmtId="0" fontId="10" fillId="0" borderId="10" xfId="0" applyNumberFormat="1" applyFont="1" applyFill="1" applyBorder="1" applyAlignment="1">
      <alignment horizontal="center" vertical="center" wrapText="1"/>
    </xf>
    <xf numFmtId="0" fontId="10" fillId="0" borderId="14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/>
    </xf>
    <xf numFmtId="0" fontId="12" fillId="0" borderId="8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10" fillId="0" borderId="13" xfId="0" applyNumberFormat="1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2" borderId="12" xfId="0" applyNumberFormat="1" applyFont="1" applyFill="1" applyBorder="1" applyAlignment="1">
      <alignment horizontal="center" vertical="center" wrapText="1"/>
    </xf>
    <xf numFmtId="0" fontId="10" fillId="2" borderId="18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1" fillId="0" borderId="10" xfId="0" applyNumberFormat="1" applyFont="1" applyFill="1" applyBorder="1" applyAlignment="1">
      <alignment horizontal="center" vertical="center" wrapText="1"/>
    </xf>
    <xf numFmtId="0" fontId="11" fillId="0" borderId="14" xfId="0" applyNumberFormat="1" applyFont="1" applyFill="1" applyBorder="1" applyAlignment="1">
      <alignment horizontal="center" vertical="center" wrapText="1"/>
    </xf>
  </cellXfs>
  <cellStyles count="11">
    <cellStyle name="Обычный" xfId="0" builtinId="0"/>
    <cellStyle name="Обычный 2" xfId="3"/>
    <cellStyle name="Обычный 2 2" xfId="4"/>
    <cellStyle name="Обычный 2 2 2" xfId="7"/>
    <cellStyle name="Обычный 2 2 3" xfId="6"/>
    <cellStyle name="Обычный 3" xfId="1"/>
    <cellStyle name="Обычный 4" xfId="5"/>
    <cellStyle name="Процентный" xfId="10" builtinId="5"/>
    <cellStyle name="Процентный 2" xfId="8"/>
    <cellStyle name="Финансовый" xfId="9" builtinId="3"/>
    <cellStyle name="Финансовый 2" xfId="2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72;&#1087;&#1082;&#1080;\&#1076;&#1086;&#1082;&#1091;&#1084;&#1077;&#1085;&#1090;&#1099;%20&#1075;&#1086;&#1088;%20&#1060;&#1059;\&#1076;&#1086;&#1082;.2006\&#1086;&#1090;&#1095;&#1077;&#1090;%202003&#1075;&#1086;&#10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&#1043;&#1083;&#1072;&#1074;&#1085;&#1086;&#1077;%20&#1084;&#1077;&#1085;&#1102;\www.NURBEK@.mail.ru\&#1056;&#1040;&#1057;&#1061;&#1054;&#1044;&#1067;\2003\&#1086;&#1090;&#1095;&#1077;&#1090;%202003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разов.03год."/>
      <sheetName val="бюджет-2003-12"/>
      <sheetName val="спец-2003-12"/>
      <sheetName val="Лист1"/>
      <sheetName val="объяс.-12мес."/>
      <sheetName val="об.12мес.гос."/>
      <sheetName val="Лист2"/>
      <sheetName val="бюджет-2003-9"/>
      <sheetName val="спец-2003-9"/>
      <sheetName val="Объяс.9мес"/>
      <sheetName val="объяс.Iполугод."/>
      <sheetName val="обход"/>
      <sheetName val="Отчет образов"/>
      <sheetName val="спец-2003&quot;6"/>
      <sheetName val="бюджет-2003&quot;6"/>
      <sheetName val="ТС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разов.03год."/>
      <sheetName val="Лист1"/>
      <sheetName val="объяс.-12мес."/>
      <sheetName val="об.12мес.гос."/>
      <sheetName val="Лист2"/>
      <sheetName val="бюджет-2003-9"/>
      <sheetName val="спец-2003-9"/>
      <sheetName val="Объяс.9мес"/>
      <sheetName val="объяс.Iполугод."/>
      <sheetName val="обход"/>
      <sheetName val="Отчет образов"/>
      <sheetName val="спец-2003&quot;6"/>
      <sheetName val="бюджет-2003&quot;6"/>
      <sheetName val="ТС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203"/>
  <sheetViews>
    <sheetView zoomScale="110" zoomScaleNormal="110" workbookViewId="0">
      <pane xSplit="2" ySplit="5" topLeftCell="C111" activePane="bottomRight" state="frozen"/>
      <selection pane="topRight" activeCell="C1" sqref="C1"/>
      <selection pane="bottomLeft" activeCell="A6" sqref="A6"/>
      <selection pane="bottomRight" activeCell="F145" sqref="F145"/>
    </sheetView>
  </sheetViews>
  <sheetFormatPr defaultColWidth="9.140625" defaultRowHeight="12.75"/>
  <cols>
    <col min="1" max="1" width="3" style="48" bestFit="1" customWidth="1"/>
    <col min="2" max="2" width="34.28515625" style="48" customWidth="1"/>
    <col min="3" max="3" width="8.42578125" style="48" bestFit="1" customWidth="1"/>
    <col min="4" max="4" width="10.7109375" style="48" hidden="1" customWidth="1"/>
    <col min="5" max="5" width="13" style="48" customWidth="1"/>
    <col min="6" max="6" width="11.5703125" style="48" customWidth="1"/>
    <col min="7" max="7" width="9.42578125" style="48" customWidth="1"/>
    <col min="8" max="8" width="9" style="48" customWidth="1"/>
    <col min="9" max="9" width="44.7109375" style="48" customWidth="1"/>
    <col min="10" max="11" width="9.140625" style="48" customWidth="1"/>
    <col min="12" max="12" width="9.140625" style="46" customWidth="1"/>
    <col min="13" max="16384" width="9.140625" style="48"/>
  </cols>
  <sheetData>
    <row r="3" spans="1:12" ht="27" customHeight="1">
      <c r="A3" s="425" t="s">
        <v>112</v>
      </c>
      <c r="B3" s="426"/>
      <c r="C3" s="426"/>
      <c r="D3" s="426"/>
      <c r="E3" s="426"/>
      <c r="F3" s="426"/>
      <c r="G3" s="426"/>
      <c r="H3" s="426"/>
      <c r="I3" s="426"/>
    </row>
    <row r="4" spans="1:12" ht="70.5" customHeight="1">
      <c r="A4" s="104" t="s">
        <v>2</v>
      </c>
      <c r="B4" s="104" t="s">
        <v>25</v>
      </c>
      <c r="C4" s="104" t="s">
        <v>113</v>
      </c>
      <c r="D4" s="114" t="s">
        <v>26</v>
      </c>
      <c r="E4" s="114" t="s">
        <v>169</v>
      </c>
      <c r="F4" s="114" t="s">
        <v>168</v>
      </c>
      <c r="G4" s="114" t="s">
        <v>91</v>
      </c>
      <c r="H4" s="114" t="s">
        <v>90</v>
      </c>
      <c r="I4" s="104" t="s">
        <v>114</v>
      </c>
    </row>
    <row r="5" spans="1:12">
      <c r="A5" s="44">
        <v>1</v>
      </c>
      <c r="B5" s="44">
        <v>2</v>
      </c>
      <c r="C5" s="44">
        <v>3</v>
      </c>
      <c r="D5" s="44">
        <v>4</v>
      </c>
      <c r="E5" s="44">
        <v>4</v>
      </c>
      <c r="F5" s="44">
        <v>5</v>
      </c>
      <c r="G5" s="44">
        <v>6</v>
      </c>
      <c r="H5" s="44">
        <v>7</v>
      </c>
      <c r="I5" s="44">
        <v>8</v>
      </c>
    </row>
    <row r="6" spans="1:12">
      <c r="A6" s="428"/>
      <c r="B6" s="428" t="s">
        <v>115</v>
      </c>
      <c r="C6" s="6">
        <v>2111</v>
      </c>
      <c r="D6" s="100"/>
      <c r="E6" s="100"/>
      <c r="F6" s="101">
        <v>420</v>
      </c>
      <c r="G6" s="100"/>
      <c r="H6" s="101"/>
      <c r="I6" s="157" t="s">
        <v>134</v>
      </c>
    </row>
    <row r="7" spans="1:12">
      <c r="A7" s="418"/>
      <c r="B7" s="418"/>
      <c r="C7" s="6">
        <v>2111</v>
      </c>
      <c r="D7" s="100"/>
      <c r="E7" s="100"/>
      <c r="F7" s="101">
        <v>930.8</v>
      </c>
      <c r="G7" s="100"/>
      <c r="H7" s="101"/>
      <c r="I7" s="424" t="s">
        <v>180</v>
      </c>
    </row>
    <row r="8" spans="1:12">
      <c r="A8" s="418"/>
      <c r="B8" s="418"/>
      <c r="C8" s="6">
        <v>2121</v>
      </c>
      <c r="D8" s="100"/>
      <c r="E8" s="100"/>
      <c r="F8" s="101">
        <v>139.1</v>
      </c>
      <c r="G8" s="100"/>
      <c r="H8" s="101"/>
      <c r="I8" s="424"/>
    </row>
    <row r="9" spans="1:12">
      <c r="A9" s="418"/>
      <c r="B9" s="418"/>
      <c r="C9" s="6">
        <v>2121</v>
      </c>
      <c r="D9" s="100"/>
      <c r="E9" s="100">
        <v>38.6</v>
      </c>
      <c r="F9" s="101"/>
      <c r="G9" s="100"/>
      <c r="H9" s="101"/>
      <c r="I9" s="157" t="s">
        <v>125</v>
      </c>
    </row>
    <row r="10" spans="1:12">
      <c r="A10" s="418"/>
      <c r="B10" s="418"/>
      <c r="C10" s="6">
        <v>2215</v>
      </c>
      <c r="D10" s="100"/>
      <c r="E10" s="100">
        <v>40</v>
      </c>
      <c r="F10" s="100"/>
      <c r="G10" s="100"/>
      <c r="H10" s="100"/>
      <c r="I10" s="157" t="s">
        <v>119</v>
      </c>
    </row>
    <row r="11" spans="1:12">
      <c r="A11" s="418"/>
      <c r="B11" s="418"/>
      <c r="C11" s="6">
        <v>2222</v>
      </c>
      <c r="D11" s="100"/>
      <c r="E11" s="100"/>
      <c r="F11" s="100">
        <v>40</v>
      </c>
      <c r="G11" s="100"/>
      <c r="H11" s="100"/>
      <c r="I11" s="157" t="s">
        <v>181</v>
      </c>
    </row>
    <row r="12" spans="1:12" ht="13.5" thickBot="1">
      <c r="A12" s="419"/>
      <c r="B12" s="419"/>
      <c r="C12" s="126">
        <v>3112</v>
      </c>
      <c r="D12" s="127"/>
      <c r="E12" s="127"/>
      <c r="F12" s="127">
        <v>300</v>
      </c>
      <c r="G12" s="127"/>
      <c r="H12" s="127"/>
      <c r="I12" s="158" t="s">
        <v>223</v>
      </c>
      <c r="J12" s="51">
        <f>SUM(E6:E12)</f>
        <v>78.599999999999994</v>
      </c>
      <c r="K12" s="51">
        <f>SUM(F6:F12)</f>
        <v>1829.8999999999999</v>
      </c>
      <c r="L12" s="122">
        <f>K12-J12</f>
        <v>1751.3</v>
      </c>
    </row>
    <row r="13" spans="1:12" s="52" customFormat="1">
      <c r="A13" s="411"/>
      <c r="B13" s="411" t="s">
        <v>23</v>
      </c>
      <c r="C13" s="33">
        <v>2111</v>
      </c>
      <c r="D13" s="128"/>
      <c r="E13" s="128">
        <v>128.80000000000001</v>
      </c>
      <c r="F13" s="129"/>
      <c r="G13" s="128"/>
      <c r="H13" s="129"/>
      <c r="I13" s="423" t="s">
        <v>118</v>
      </c>
      <c r="L13" s="123"/>
    </row>
    <row r="14" spans="1:12" s="52" customFormat="1" ht="13.5" thickBot="1">
      <c r="A14" s="413"/>
      <c r="B14" s="413"/>
      <c r="C14" s="126">
        <v>2121</v>
      </c>
      <c r="D14" s="127"/>
      <c r="E14" s="127">
        <v>22.2</v>
      </c>
      <c r="F14" s="130"/>
      <c r="G14" s="127"/>
      <c r="H14" s="130"/>
      <c r="I14" s="427"/>
      <c r="J14" s="132">
        <f>SUM(E13:E14)</f>
        <v>151</v>
      </c>
      <c r="L14" s="123"/>
    </row>
    <row r="15" spans="1:12" s="52" customFormat="1">
      <c r="A15" s="411"/>
      <c r="B15" s="411" t="s">
        <v>126</v>
      </c>
      <c r="C15" s="33">
        <v>2222</v>
      </c>
      <c r="D15" s="128"/>
      <c r="E15" s="128">
        <v>34.5</v>
      </c>
      <c r="F15" s="131"/>
      <c r="G15" s="128"/>
      <c r="H15" s="129"/>
      <c r="I15" s="423" t="s">
        <v>127</v>
      </c>
      <c r="L15" s="123"/>
    </row>
    <row r="16" spans="1:12" s="52" customFormat="1">
      <c r="A16" s="412"/>
      <c r="B16" s="412"/>
      <c r="C16" s="6">
        <v>3112</v>
      </c>
      <c r="D16" s="100"/>
      <c r="E16" s="100"/>
      <c r="F16" s="100">
        <v>34.5</v>
      </c>
      <c r="G16" s="100"/>
      <c r="H16" s="101"/>
      <c r="I16" s="424"/>
      <c r="L16" s="123"/>
    </row>
    <row r="17" spans="1:12" s="52" customFormat="1">
      <c r="A17" s="412"/>
      <c r="B17" s="412"/>
      <c r="C17" s="6">
        <v>2222</v>
      </c>
      <c r="D17" s="100"/>
      <c r="E17" s="100">
        <v>38</v>
      </c>
      <c r="F17" s="100"/>
      <c r="G17" s="100"/>
      <c r="H17" s="101"/>
      <c r="I17" s="424" t="s">
        <v>128</v>
      </c>
      <c r="L17" s="123"/>
    </row>
    <row r="18" spans="1:12" s="52" customFormat="1" ht="13.5" thickBot="1">
      <c r="A18" s="413"/>
      <c r="B18" s="413"/>
      <c r="C18" s="126">
        <v>2215</v>
      </c>
      <c r="D18" s="127"/>
      <c r="E18" s="127"/>
      <c r="F18" s="127">
        <v>38</v>
      </c>
      <c r="G18" s="127"/>
      <c r="H18" s="130"/>
      <c r="I18" s="427"/>
      <c r="J18" s="132">
        <f>SUM(E15:E17)</f>
        <v>72.5</v>
      </c>
      <c r="K18" s="132">
        <f>SUM(F15:F18)</f>
        <v>72.5</v>
      </c>
      <c r="L18" s="133">
        <f>K18-J18</f>
        <v>0</v>
      </c>
    </row>
    <row r="19" spans="1:12" s="52" customFormat="1">
      <c r="A19" s="411"/>
      <c r="B19" s="411" t="s">
        <v>117</v>
      </c>
      <c r="C19" s="33">
        <v>2111</v>
      </c>
      <c r="D19" s="128"/>
      <c r="E19" s="128"/>
      <c r="F19" s="128">
        <v>893.3</v>
      </c>
      <c r="G19" s="128"/>
      <c r="H19" s="129"/>
      <c r="I19" s="423" t="s">
        <v>135</v>
      </c>
      <c r="L19" s="123"/>
    </row>
    <row r="20" spans="1:12" s="52" customFormat="1">
      <c r="A20" s="412"/>
      <c r="B20" s="412"/>
      <c r="C20" s="6">
        <v>2121</v>
      </c>
      <c r="D20" s="100"/>
      <c r="E20" s="100"/>
      <c r="F20" s="100">
        <v>133.6</v>
      </c>
      <c r="G20" s="100"/>
      <c r="H20" s="101"/>
      <c r="I20" s="424"/>
      <c r="L20" s="123"/>
    </row>
    <row r="21" spans="1:12" s="52" customFormat="1" ht="13.5" thickBot="1">
      <c r="A21" s="413"/>
      <c r="B21" s="413"/>
      <c r="C21" s="126">
        <v>2222</v>
      </c>
      <c r="D21" s="127"/>
      <c r="E21" s="127"/>
      <c r="F21" s="127">
        <v>160</v>
      </c>
      <c r="G21" s="127"/>
      <c r="H21" s="130"/>
      <c r="I21" s="158" t="s">
        <v>181</v>
      </c>
      <c r="K21" s="132">
        <f>SUM(F19:F21)</f>
        <v>1186.8999999999999</v>
      </c>
      <c r="L21" s="123"/>
    </row>
    <row r="22" spans="1:12" s="52" customFormat="1" ht="25.5">
      <c r="A22" s="411"/>
      <c r="B22" s="411" t="s">
        <v>19</v>
      </c>
      <c r="C22" s="33">
        <v>2215</v>
      </c>
      <c r="D22" s="128"/>
      <c r="E22" s="128">
        <v>200</v>
      </c>
      <c r="F22" s="129"/>
      <c r="G22" s="128"/>
      <c r="H22" s="129"/>
      <c r="I22" s="156" t="s">
        <v>120</v>
      </c>
      <c r="L22" s="123"/>
    </row>
    <row r="23" spans="1:12" s="52" customFormat="1" ht="13.5" thickBot="1">
      <c r="A23" s="413"/>
      <c r="B23" s="413"/>
      <c r="C23" s="126">
        <v>2231</v>
      </c>
      <c r="D23" s="127"/>
      <c r="E23" s="127"/>
      <c r="F23" s="130">
        <v>8</v>
      </c>
      <c r="G23" s="127"/>
      <c r="H23" s="130"/>
      <c r="I23" s="158" t="s">
        <v>194</v>
      </c>
      <c r="J23" s="132">
        <f>E22</f>
        <v>200</v>
      </c>
      <c r="K23" s="132">
        <f>F23</f>
        <v>8</v>
      </c>
      <c r="L23" s="133">
        <f>K23-J23</f>
        <v>-192</v>
      </c>
    </row>
    <row r="24" spans="1:12" s="52" customFormat="1">
      <c r="A24" s="411"/>
      <c r="B24" s="411" t="s">
        <v>121</v>
      </c>
      <c r="C24" s="33">
        <v>2215</v>
      </c>
      <c r="D24" s="128"/>
      <c r="E24" s="128"/>
      <c r="F24" s="129">
        <v>2795</v>
      </c>
      <c r="G24" s="128"/>
      <c r="H24" s="129"/>
      <c r="I24" s="156" t="s">
        <v>195</v>
      </c>
      <c r="L24" s="123"/>
    </row>
    <row r="25" spans="1:12" s="52" customFormat="1">
      <c r="A25" s="412"/>
      <c r="B25" s="412"/>
      <c r="C25" s="6">
        <v>2215</v>
      </c>
      <c r="D25" s="100"/>
      <c r="E25" s="100"/>
      <c r="F25" s="101">
        <v>574</v>
      </c>
      <c r="G25" s="100"/>
      <c r="H25" s="101"/>
      <c r="I25" s="157" t="s">
        <v>145</v>
      </c>
      <c r="L25" s="123"/>
    </row>
    <row r="26" spans="1:12" s="52" customFormat="1" ht="13.5" thickBot="1">
      <c r="A26" s="413"/>
      <c r="B26" s="413"/>
      <c r="C26" s="126">
        <v>3112</v>
      </c>
      <c r="D26" s="127"/>
      <c r="E26" s="127"/>
      <c r="F26" s="130">
        <v>60</v>
      </c>
      <c r="G26" s="127"/>
      <c r="H26" s="130"/>
      <c r="I26" s="158" t="s">
        <v>138</v>
      </c>
      <c r="K26" s="132">
        <f>SUM(F24:F26)</f>
        <v>3429</v>
      </c>
      <c r="L26" s="123"/>
    </row>
    <row r="27" spans="1:12" s="52" customFormat="1" ht="13.5" thickBot="1">
      <c r="A27" s="134"/>
      <c r="B27" s="134" t="s">
        <v>20</v>
      </c>
      <c r="C27" s="135">
        <v>2232</v>
      </c>
      <c r="D27" s="136"/>
      <c r="E27" s="136">
        <v>15</v>
      </c>
      <c r="F27" s="136"/>
      <c r="G27" s="136"/>
      <c r="H27" s="137"/>
      <c r="I27" s="138" t="s">
        <v>122</v>
      </c>
      <c r="J27" s="132">
        <f>E27</f>
        <v>15</v>
      </c>
      <c r="L27" s="123"/>
    </row>
    <row r="28" spans="1:12" s="52" customFormat="1">
      <c r="A28" s="411"/>
      <c r="B28" s="411" t="s">
        <v>123</v>
      </c>
      <c r="C28" s="33">
        <v>2111</v>
      </c>
      <c r="D28" s="128"/>
      <c r="E28" s="128"/>
      <c r="F28" s="128">
        <v>716.4</v>
      </c>
      <c r="G28" s="128"/>
      <c r="H28" s="129"/>
      <c r="I28" s="423" t="s">
        <v>160</v>
      </c>
      <c r="L28" s="123"/>
    </row>
    <row r="29" spans="1:12" s="52" customFormat="1">
      <c r="A29" s="412"/>
      <c r="B29" s="412"/>
      <c r="C29" s="6">
        <v>2121</v>
      </c>
      <c r="D29" s="100"/>
      <c r="E29" s="100"/>
      <c r="F29" s="100">
        <v>107.1</v>
      </c>
      <c r="G29" s="100"/>
      <c r="H29" s="101"/>
      <c r="I29" s="424"/>
      <c r="L29" s="123"/>
    </row>
    <row r="30" spans="1:12" ht="25.5">
      <c r="A30" s="412"/>
      <c r="B30" s="412"/>
      <c r="C30" s="6">
        <v>2215</v>
      </c>
      <c r="D30" s="100"/>
      <c r="E30" s="100"/>
      <c r="F30" s="102">
        <v>340</v>
      </c>
      <c r="G30" s="100"/>
      <c r="H30" s="102"/>
      <c r="I30" s="157" t="s">
        <v>124</v>
      </c>
    </row>
    <row r="31" spans="1:12">
      <c r="A31" s="412"/>
      <c r="B31" s="412"/>
      <c r="C31" s="6">
        <v>2221</v>
      </c>
      <c r="D31" s="100"/>
      <c r="E31" s="100">
        <v>5</v>
      </c>
      <c r="F31" s="102"/>
      <c r="G31" s="100"/>
      <c r="H31" s="102"/>
      <c r="I31" s="157" t="s">
        <v>163</v>
      </c>
    </row>
    <row r="32" spans="1:12">
      <c r="A32" s="412"/>
      <c r="B32" s="412"/>
      <c r="C32" s="6">
        <v>3112</v>
      </c>
      <c r="D32" s="100"/>
      <c r="E32" s="100"/>
      <c r="F32" s="102">
        <v>5</v>
      </c>
      <c r="G32" s="100"/>
      <c r="H32" s="102"/>
      <c r="I32" s="157" t="s">
        <v>164</v>
      </c>
    </row>
    <row r="33" spans="1:12">
      <c r="A33" s="412"/>
      <c r="B33" s="412"/>
      <c r="C33" s="6">
        <v>3112</v>
      </c>
      <c r="D33" s="100"/>
      <c r="E33" s="100"/>
      <c r="F33" s="102">
        <v>60</v>
      </c>
      <c r="G33" s="100"/>
      <c r="H33" s="102"/>
      <c r="I33" s="157" t="s">
        <v>158</v>
      </c>
    </row>
    <row r="34" spans="1:12">
      <c r="A34" s="412"/>
      <c r="B34" s="412"/>
      <c r="C34" s="6">
        <v>2215</v>
      </c>
      <c r="D34" s="100"/>
      <c r="E34" s="100"/>
      <c r="F34" s="102">
        <v>320</v>
      </c>
      <c r="G34" s="100"/>
      <c r="H34" s="102"/>
      <c r="I34" s="157" t="s">
        <v>167</v>
      </c>
    </row>
    <row r="35" spans="1:12">
      <c r="A35" s="412"/>
      <c r="B35" s="412"/>
      <c r="C35" s="6">
        <v>3112</v>
      </c>
      <c r="D35" s="100"/>
      <c r="E35" s="100"/>
      <c r="F35" s="102">
        <v>48</v>
      </c>
      <c r="G35" s="100"/>
      <c r="H35" s="102"/>
      <c r="I35" s="157" t="s">
        <v>162</v>
      </c>
    </row>
    <row r="36" spans="1:12">
      <c r="A36" s="412"/>
      <c r="B36" s="412"/>
      <c r="C36" s="6">
        <v>3111</v>
      </c>
      <c r="D36" s="100"/>
      <c r="E36" s="102">
        <v>3923</v>
      </c>
      <c r="F36" s="102"/>
      <c r="G36" s="100"/>
      <c r="H36" s="102"/>
      <c r="I36" s="157" t="s">
        <v>178</v>
      </c>
    </row>
    <row r="37" spans="1:12" ht="13.5" thickBot="1">
      <c r="A37" s="413"/>
      <c r="B37" s="413"/>
      <c r="C37" s="126">
        <v>2214</v>
      </c>
      <c r="D37" s="127"/>
      <c r="E37" s="127"/>
      <c r="F37" s="140">
        <v>19</v>
      </c>
      <c r="G37" s="127"/>
      <c r="H37" s="140"/>
      <c r="I37" s="158" t="s">
        <v>161</v>
      </c>
      <c r="J37" s="51">
        <f>SUM(E28:E37)</f>
        <v>3928</v>
      </c>
      <c r="K37" s="51">
        <f>SUM(F28:F37)</f>
        <v>1615.5</v>
      </c>
      <c r="L37" s="122">
        <f>K37-J37</f>
        <v>-2312.5</v>
      </c>
    </row>
    <row r="38" spans="1:12" ht="26.25" thickBot="1">
      <c r="A38" s="134"/>
      <c r="B38" s="141" t="s">
        <v>188</v>
      </c>
      <c r="C38" s="135">
        <v>3111</v>
      </c>
      <c r="D38" s="136"/>
      <c r="E38" s="136"/>
      <c r="F38" s="142">
        <v>3923</v>
      </c>
      <c r="G38" s="136"/>
      <c r="H38" s="142"/>
      <c r="I38" s="138" t="s">
        <v>178</v>
      </c>
      <c r="K38" s="48">
        <v>3923</v>
      </c>
    </row>
    <row r="39" spans="1:12">
      <c r="A39" s="411"/>
      <c r="B39" s="414" t="s">
        <v>18</v>
      </c>
      <c r="C39" s="33">
        <v>2111</v>
      </c>
      <c r="D39" s="128"/>
      <c r="E39" s="128">
        <v>156.69999999999999</v>
      </c>
      <c r="F39" s="143"/>
      <c r="G39" s="128"/>
      <c r="H39" s="143"/>
      <c r="I39" s="423" t="s">
        <v>136</v>
      </c>
    </row>
    <row r="40" spans="1:12">
      <c r="A40" s="412"/>
      <c r="B40" s="415"/>
      <c r="C40" s="6">
        <v>2121</v>
      </c>
      <c r="D40" s="100"/>
      <c r="E40" s="100">
        <v>22.2</v>
      </c>
      <c r="F40" s="102"/>
      <c r="G40" s="100"/>
      <c r="H40" s="102"/>
      <c r="I40" s="424"/>
    </row>
    <row r="41" spans="1:12">
      <c r="A41" s="412"/>
      <c r="B41" s="415"/>
      <c r="C41" s="6">
        <v>2222</v>
      </c>
      <c r="D41" s="100"/>
      <c r="E41" s="100"/>
      <c r="F41" s="102">
        <v>1306.2</v>
      </c>
      <c r="G41" s="100"/>
      <c r="H41" s="102"/>
      <c r="I41" s="157" t="s">
        <v>154</v>
      </c>
    </row>
    <row r="42" spans="1:12">
      <c r="A42" s="412"/>
      <c r="B42" s="415"/>
      <c r="C42" s="6">
        <v>2214</v>
      </c>
      <c r="D42" s="100"/>
      <c r="E42" s="100"/>
      <c r="F42" s="102">
        <v>146.44499999999999</v>
      </c>
      <c r="G42" s="100"/>
      <c r="H42" s="102"/>
      <c r="I42" s="157" t="s">
        <v>190</v>
      </c>
    </row>
    <row r="43" spans="1:12">
      <c r="A43" s="412"/>
      <c r="B43" s="415"/>
      <c r="C43" s="6">
        <v>2214</v>
      </c>
      <c r="D43" s="100"/>
      <c r="E43" s="100"/>
      <c r="F43" s="102">
        <v>1500</v>
      </c>
      <c r="G43" s="100"/>
      <c r="H43" s="102"/>
      <c r="I43" s="157" t="s">
        <v>190</v>
      </c>
    </row>
    <row r="44" spans="1:12" ht="38.25">
      <c r="A44" s="412"/>
      <c r="B44" s="415"/>
      <c r="C44" s="6">
        <v>2215</v>
      </c>
      <c r="D44" s="100"/>
      <c r="E44" s="100"/>
      <c r="F44" s="102">
        <f>1172.8+250</f>
        <v>1422.8</v>
      </c>
      <c r="G44" s="100"/>
      <c r="H44" s="102"/>
      <c r="I44" s="157" t="s">
        <v>210</v>
      </c>
    </row>
    <row r="45" spans="1:12">
      <c r="A45" s="412"/>
      <c r="B45" s="415"/>
      <c r="C45" s="6">
        <v>3113</v>
      </c>
      <c r="D45" s="100"/>
      <c r="E45" s="100"/>
      <c r="F45" s="102">
        <v>450</v>
      </c>
      <c r="G45" s="100"/>
      <c r="H45" s="102"/>
      <c r="I45" s="157" t="s">
        <v>209</v>
      </c>
    </row>
    <row r="46" spans="1:12">
      <c r="A46" s="412"/>
      <c r="B46" s="415"/>
      <c r="C46" s="6">
        <v>3111</v>
      </c>
      <c r="D46" s="100"/>
      <c r="E46" s="100"/>
      <c r="F46" s="102">
        <v>700</v>
      </c>
      <c r="G46" s="100"/>
      <c r="H46" s="102"/>
      <c r="I46" s="157" t="s">
        <v>208</v>
      </c>
    </row>
    <row r="47" spans="1:12">
      <c r="A47" s="412"/>
      <c r="B47" s="415"/>
      <c r="C47" s="6">
        <v>3113</v>
      </c>
      <c r="D47" s="100"/>
      <c r="E47" s="100"/>
      <c r="F47" s="102">
        <f>620+1440</f>
        <v>2060</v>
      </c>
      <c r="G47" s="100"/>
      <c r="H47" s="102"/>
      <c r="I47" s="157" t="s">
        <v>159</v>
      </c>
    </row>
    <row r="48" spans="1:12">
      <c r="A48" s="412"/>
      <c r="B48" s="415"/>
      <c r="C48" s="6">
        <v>3111</v>
      </c>
      <c r="D48" s="100"/>
      <c r="E48" s="100"/>
      <c r="F48" s="102">
        <f>3105-250</f>
        <v>2855</v>
      </c>
      <c r="G48" s="100"/>
      <c r="H48" s="102"/>
      <c r="I48" s="157" t="s">
        <v>153</v>
      </c>
    </row>
    <row r="49" spans="1:12" ht="26.25" thickBot="1">
      <c r="A49" s="413"/>
      <c r="B49" s="416"/>
      <c r="C49" s="126">
        <v>3112</v>
      </c>
      <c r="D49" s="127"/>
      <c r="E49" s="127">
        <v>700</v>
      </c>
      <c r="F49" s="140"/>
      <c r="G49" s="127"/>
      <c r="H49" s="140"/>
      <c r="I49" s="158" t="s">
        <v>130</v>
      </c>
      <c r="J49" s="51">
        <f>SUM(E39:E49)</f>
        <v>878.9</v>
      </c>
      <c r="K49" s="51">
        <f>SUM(F39:F49)</f>
        <v>10440.445</v>
      </c>
      <c r="L49" s="122">
        <f>K49-J49</f>
        <v>9561.5450000000001</v>
      </c>
    </row>
    <row r="50" spans="1:12">
      <c r="A50" s="411"/>
      <c r="B50" s="414" t="s">
        <v>116</v>
      </c>
      <c r="C50" s="33">
        <v>2214</v>
      </c>
      <c r="D50" s="128"/>
      <c r="E50" s="128">
        <v>1800</v>
      </c>
      <c r="F50" s="143"/>
      <c r="G50" s="128"/>
      <c r="H50" s="143"/>
      <c r="I50" s="156" t="s">
        <v>129</v>
      </c>
    </row>
    <row r="51" spans="1:12">
      <c r="A51" s="412"/>
      <c r="B51" s="415"/>
      <c r="C51" s="6">
        <v>2111</v>
      </c>
      <c r="D51" s="100"/>
      <c r="E51" s="100"/>
      <c r="F51" s="102">
        <v>8087.7</v>
      </c>
      <c r="G51" s="100"/>
      <c r="H51" s="102"/>
      <c r="I51" s="424" t="s">
        <v>152</v>
      </c>
    </row>
    <row r="52" spans="1:12">
      <c r="A52" s="412"/>
      <c r="B52" s="415"/>
      <c r="C52" s="6">
        <v>2121</v>
      </c>
      <c r="D52" s="100"/>
      <c r="E52" s="100"/>
      <c r="F52" s="102">
        <v>1395.1</v>
      </c>
      <c r="G52" s="100"/>
      <c r="H52" s="102"/>
      <c r="I52" s="424"/>
    </row>
    <row r="53" spans="1:12">
      <c r="A53" s="412"/>
      <c r="B53" s="415"/>
      <c r="C53" s="6">
        <v>2222</v>
      </c>
      <c r="D53" s="100"/>
      <c r="E53" s="100"/>
      <c r="F53" s="102">
        <v>924.5</v>
      </c>
      <c r="G53" s="100"/>
      <c r="H53" s="102"/>
      <c r="I53" s="424"/>
    </row>
    <row r="54" spans="1:12" ht="13.5" thickBot="1">
      <c r="A54" s="413"/>
      <c r="B54" s="416"/>
      <c r="C54" s="126">
        <v>2223</v>
      </c>
      <c r="D54" s="127"/>
      <c r="E54" s="127"/>
      <c r="F54" s="140">
        <v>228</v>
      </c>
      <c r="G54" s="127"/>
      <c r="H54" s="140"/>
      <c r="I54" s="427"/>
      <c r="J54" s="51">
        <f>E50</f>
        <v>1800</v>
      </c>
      <c r="K54" s="50">
        <f>SUM(F51:F54)</f>
        <v>10635.3</v>
      </c>
      <c r="L54" s="144">
        <f>K54-J54</f>
        <v>8835.2999999999993</v>
      </c>
    </row>
    <row r="55" spans="1:12">
      <c r="A55" s="417"/>
      <c r="B55" s="420" t="s">
        <v>149</v>
      </c>
      <c r="C55" s="33">
        <v>2215</v>
      </c>
      <c r="D55" s="128"/>
      <c r="E55" s="128">
        <v>500</v>
      </c>
      <c r="F55" s="143"/>
      <c r="G55" s="128"/>
      <c r="H55" s="143"/>
      <c r="I55" s="156" t="s">
        <v>132</v>
      </c>
    </row>
    <row r="56" spans="1:12">
      <c r="A56" s="418"/>
      <c r="B56" s="421"/>
      <c r="C56" s="6">
        <v>2111</v>
      </c>
      <c r="D56" s="100"/>
      <c r="E56" s="100"/>
      <c r="F56" s="102">
        <v>1847.6</v>
      </c>
      <c r="G56" s="100"/>
      <c r="H56" s="102"/>
      <c r="I56" s="424" t="s">
        <v>197</v>
      </c>
    </row>
    <row r="57" spans="1:12">
      <c r="A57" s="418"/>
      <c r="B57" s="421"/>
      <c r="C57" s="6">
        <v>2121</v>
      </c>
      <c r="D57" s="100"/>
      <c r="E57" s="100"/>
      <c r="F57" s="102">
        <v>317.3</v>
      </c>
      <c r="G57" s="100"/>
      <c r="H57" s="102"/>
      <c r="I57" s="424"/>
    </row>
    <row r="58" spans="1:12" ht="38.25">
      <c r="A58" s="418"/>
      <c r="B58" s="421"/>
      <c r="C58" s="6">
        <v>2222</v>
      </c>
      <c r="D58" s="100"/>
      <c r="E58" s="100"/>
      <c r="F58" s="102">
        <f>6895.72+1220.5</f>
        <v>8116.22</v>
      </c>
      <c r="G58" s="100"/>
      <c r="H58" s="102"/>
      <c r="I58" s="157" t="s">
        <v>157</v>
      </c>
    </row>
    <row r="59" spans="1:12">
      <c r="A59" s="418"/>
      <c r="B59" s="421"/>
      <c r="C59" s="6">
        <v>2222</v>
      </c>
      <c r="D59" s="100"/>
      <c r="E59" s="100"/>
      <c r="F59" s="102">
        <v>1800</v>
      </c>
      <c r="G59" s="100"/>
      <c r="H59" s="102"/>
      <c r="I59" s="157" t="s">
        <v>206</v>
      </c>
    </row>
    <row r="60" spans="1:12">
      <c r="A60" s="418"/>
      <c r="B60" s="421"/>
      <c r="C60" s="6">
        <v>2221</v>
      </c>
      <c r="D60" s="100"/>
      <c r="E60" s="100"/>
      <c r="F60" s="102">
        <v>400</v>
      </c>
      <c r="G60" s="100"/>
      <c r="H60" s="102"/>
      <c r="I60" s="157" t="s">
        <v>211</v>
      </c>
    </row>
    <row r="61" spans="1:12">
      <c r="A61" s="418"/>
      <c r="B61" s="421"/>
      <c r="C61" s="6">
        <v>2215</v>
      </c>
      <c r="D61" s="100"/>
      <c r="E61" s="100"/>
      <c r="F61" s="102">
        <v>200</v>
      </c>
      <c r="G61" s="100"/>
      <c r="H61" s="102"/>
      <c r="I61" s="157" t="s">
        <v>212</v>
      </c>
    </row>
    <row r="62" spans="1:12">
      <c r="A62" s="418"/>
      <c r="B62" s="421"/>
      <c r="C62" s="6">
        <v>3122</v>
      </c>
      <c r="D62" s="100"/>
      <c r="E62" s="100"/>
      <c r="F62" s="102">
        <v>2500</v>
      </c>
      <c r="G62" s="100"/>
      <c r="H62" s="102"/>
      <c r="I62" s="157" t="s">
        <v>213</v>
      </c>
    </row>
    <row r="63" spans="1:12" ht="13.5" thickBot="1">
      <c r="A63" s="419"/>
      <c r="B63" s="422"/>
      <c r="C63" s="126">
        <v>3112</v>
      </c>
      <c r="D63" s="127"/>
      <c r="E63" s="127">
        <v>22949</v>
      </c>
      <c r="F63" s="140"/>
      <c r="G63" s="127"/>
      <c r="H63" s="140"/>
      <c r="I63" s="158" t="s">
        <v>198</v>
      </c>
      <c r="J63" s="51">
        <f>SUM(E55:E63)</f>
        <v>23449</v>
      </c>
      <c r="K63" s="51">
        <f>SUM(F55:F63)</f>
        <v>15181.12</v>
      </c>
      <c r="L63" s="122">
        <f>K63-J63</f>
        <v>-8267.8799999999992</v>
      </c>
    </row>
    <row r="64" spans="1:12">
      <c r="A64" s="417"/>
      <c r="B64" s="420" t="s">
        <v>150</v>
      </c>
      <c r="C64" s="33">
        <v>2511</v>
      </c>
      <c r="D64" s="128"/>
      <c r="E64" s="128"/>
      <c r="F64" s="143">
        <v>6000</v>
      </c>
      <c r="G64" s="128"/>
      <c r="H64" s="143"/>
      <c r="I64" s="156" t="s">
        <v>131</v>
      </c>
    </row>
    <row r="65" spans="1:12">
      <c r="A65" s="418"/>
      <c r="B65" s="421"/>
      <c r="C65" s="6">
        <v>2511</v>
      </c>
      <c r="D65" s="100"/>
      <c r="E65" s="100"/>
      <c r="F65" s="102">
        <v>2300</v>
      </c>
      <c r="G65" s="100"/>
      <c r="H65" s="102"/>
      <c r="I65" s="157" t="s">
        <v>189</v>
      </c>
    </row>
    <row r="66" spans="1:12">
      <c r="A66" s="418"/>
      <c r="B66" s="421"/>
      <c r="C66" s="6">
        <v>2511</v>
      </c>
      <c r="D66" s="100"/>
      <c r="E66" s="100"/>
      <c r="F66" s="102">
        <v>2250</v>
      </c>
      <c r="G66" s="100"/>
      <c r="H66" s="102"/>
      <c r="I66" s="157" t="s">
        <v>224</v>
      </c>
    </row>
    <row r="67" spans="1:12" ht="26.25" thickBot="1">
      <c r="A67" s="419"/>
      <c r="B67" s="422"/>
      <c r="C67" s="126">
        <v>2511</v>
      </c>
      <c r="D67" s="127"/>
      <c r="E67" s="127"/>
      <c r="F67" s="140">
        <v>600</v>
      </c>
      <c r="G67" s="127"/>
      <c r="H67" s="140"/>
      <c r="I67" s="158" t="s">
        <v>214</v>
      </c>
      <c r="K67" s="50">
        <f>SUM(F64:F67)</f>
        <v>11150</v>
      </c>
    </row>
    <row r="68" spans="1:12" ht="13.5" thickBot="1">
      <c r="A68" s="134"/>
      <c r="B68" s="145" t="s">
        <v>133</v>
      </c>
      <c r="C68" s="135">
        <v>2111</v>
      </c>
      <c r="D68" s="136"/>
      <c r="E68" s="136"/>
      <c r="F68" s="142">
        <v>825</v>
      </c>
      <c r="G68" s="136"/>
      <c r="H68" s="142"/>
      <c r="I68" s="138" t="s">
        <v>134</v>
      </c>
      <c r="K68" s="48">
        <v>825</v>
      </c>
    </row>
    <row r="69" spans="1:12" ht="25.5">
      <c r="A69" s="411"/>
      <c r="B69" s="411" t="s">
        <v>16</v>
      </c>
      <c r="C69" s="33">
        <v>2214</v>
      </c>
      <c r="D69" s="128"/>
      <c r="E69" s="128">
        <v>19</v>
      </c>
      <c r="F69" s="143"/>
      <c r="G69" s="128"/>
      <c r="H69" s="143"/>
      <c r="I69" s="156" t="s">
        <v>193</v>
      </c>
    </row>
    <row r="70" spans="1:12">
      <c r="A70" s="412"/>
      <c r="B70" s="412"/>
      <c r="C70" s="6">
        <v>2214</v>
      </c>
      <c r="D70" s="100"/>
      <c r="E70" s="100"/>
      <c r="F70" s="102">
        <v>70</v>
      </c>
      <c r="G70" s="100"/>
      <c r="H70" s="102"/>
      <c r="I70" s="157" t="s">
        <v>192</v>
      </c>
    </row>
    <row r="71" spans="1:12">
      <c r="A71" s="412"/>
      <c r="B71" s="412"/>
      <c r="C71" s="6">
        <v>2215</v>
      </c>
      <c r="D71" s="100"/>
      <c r="E71" s="100">
        <v>1500</v>
      </c>
      <c r="F71" s="102"/>
      <c r="G71" s="100"/>
      <c r="H71" s="102"/>
      <c r="I71" s="429" t="s">
        <v>225</v>
      </c>
    </row>
    <row r="72" spans="1:12">
      <c r="A72" s="412"/>
      <c r="B72" s="412"/>
      <c r="C72" s="6">
        <v>3111</v>
      </c>
      <c r="D72" s="100"/>
      <c r="E72" s="100"/>
      <c r="F72" s="102">
        <v>1500</v>
      </c>
      <c r="G72" s="100"/>
      <c r="H72" s="102"/>
      <c r="I72" s="430"/>
    </row>
    <row r="73" spans="1:12" ht="13.5" thickBot="1">
      <c r="A73" s="413"/>
      <c r="B73" s="413"/>
      <c r="C73" s="126">
        <v>3111</v>
      </c>
      <c r="D73" s="127"/>
      <c r="E73" s="127">
        <f>31731.7+1500</f>
        <v>33231.699999999997</v>
      </c>
      <c r="F73" s="140"/>
      <c r="G73" s="127"/>
      <c r="H73" s="140"/>
      <c r="I73" s="158" t="s">
        <v>191</v>
      </c>
      <c r="J73" s="51">
        <f>SUM(E69:E73)</f>
        <v>34750.699999999997</v>
      </c>
      <c r="K73" s="51">
        <f>SUM(F69:F73)</f>
        <v>1570</v>
      </c>
      <c r="L73" s="122">
        <f>K73-J73</f>
        <v>-33180.699999999997</v>
      </c>
    </row>
    <row r="74" spans="1:12" ht="25.5">
      <c r="A74" s="411"/>
      <c r="B74" s="411" t="s">
        <v>17</v>
      </c>
      <c r="C74" s="33">
        <v>2111</v>
      </c>
      <c r="D74" s="147"/>
      <c r="E74" s="128">
        <v>87.3</v>
      </c>
      <c r="F74" s="143"/>
      <c r="G74" s="128"/>
      <c r="H74" s="143"/>
      <c r="I74" s="148" t="s">
        <v>182</v>
      </c>
    </row>
    <row r="75" spans="1:12">
      <c r="A75" s="412"/>
      <c r="B75" s="412"/>
      <c r="C75" s="6">
        <v>2121</v>
      </c>
      <c r="D75" s="47"/>
      <c r="E75" s="100"/>
      <c r="F75" s="102">
        <v>26.2</v>
      </c>
      <c r="G75" s="100"/>
      <c r="H75" s="102"/>
      <c r="I75" s="7" t="s">
        <v>183</v>
      </c>
    </row>
    <row r="76" spans="1:12">
      <c r="A76" s="412"/>
      <c r="B76" s="412"/>
      <c r="C76" s="6">
        <v>2214</v>
      </c>
      <c r="D76" s="47"/>
      <c r="E76" s="100">
        <v>83.6</v>
      </c>
      <c r="F76" s="102"/>
      <c r="G76" s="100"/>
      <c r="H76" s="102"/>
      <c r="I76" s="7" t="s">
        <v>184</v>
      </c>
    </row>
    <row r="77" spans="1:12">
      <c r="A77" s="412"/>
      <c r="B77" s="412"/>
      <c r="C77" s="6">
        <v>2214</v>
      </c>
      <c r="D77" s="47"/>
      <c r="E77" s="100"/>
      <c r="F77" s="102">
        <v>6.2</v>
      </c>
      <c r="G77" s="100"/>
      <c r="H77" s="102"/>
      <c r="I77" s="7" t="s">
        <v>215</v>
      </c>
    </row>
    <row r="78" spans="1:12" ht="25.5">
      <c r="A78" s="412"/>
      <c r="B78" s="412"/>
      <c r="C78" s="6">
        <v>2215</v>
      </c>
      <c r="D78" s="47"/>
      <c r="E78" s="100">
        <v>150</v>
      </c>
      <c r="F78" s="102"/>
      <c r="G78" s="100"/>
      <c r="H78" s="102"/>
      <c r="I78" s="7" t="s">
        <v>185</v>
      </c>
    </row>
    <row r="79" spans="1:12">
      <c r="A79" s="412"/>
      <c r="B79" s="412"/>
      <c r="C79" s="6">
        <v>2215</v>
      </c>
      <c r="D79" s="47"/>
      <c r="E79" s="100"/>
      <c r="F79" s="100">
        <v>4.2</v>
      </c>
      <c r="G79" s="100"/>
      <c r="H79" s="102"/>
      <c r="I79" s="7" t="s">
        <v>186</v>
      </c>
    </row>
    <row r="80" spans="1:12">
      <c r="A80" s="412"/>
      <c r="B80" s="412"/>
      <c r="C80" s="6">
        <v>2222</v>
      </c>
      <c r="D80" s="47"/>
      <c r="E80" s="40">
        <v>9.5</v>
      </c>
      <c r="F80" s="102"/>
      <c r="G80" s="100"/>
      <c r="H80" s="102"/>
      <c r="I80" s="7" t="s">
        <v>187</v>
      </c>
    </row>
    <row r="81" spans="1:12">
      <c r="A81" s="412"/>
      <c r="B81" s="412"/>
      <c r="C81" s="6">
        <v>2222</v>
      </c>
      <c r="D81" s="47"/>
      <c r="E81" s="40">
        <v>30</v>
      </c>
      <c r="F81" s="102"/>
      <c r="G81" s="100"/>
      <c r="H81" s="102"/>
      <c r="I81" s="7" t="s">
        <v>231</v>
      </c>
    </row>
    <row r="82" spans="1:12">
      <c r="A82" s="412"/>
      <c r="B82" s="412"/>
      <c r="C82" s="6">
        <v>2222</v>
      </c>
      <c r="D82" s="47"/>
      <c r="E82" s="40"/>
      <c r="F82" s="102">
        <v>642</v>
      </c>
      <c r="G82" s="100"/>
      <c r="H82" s="102"/>
      <c r="I82" s="7" t="s">
        <v>165</v>
      </c>
    </row>
    <row r="83" spans="1:12" ht="13.9" customHeight="1">
      <c r="A83" s="412"/>
      <c r="B83" s="412"/>
      <c r="C83" s="6">
        <v>2222</v>
      </c>
      <c r="D83" s="47"/>
      <c r="E83" s="40"/>
      <c r="F83" s="102">
        <v>20000</v>
      </c>
      <c r="G83" s="100"/>
      <c r="H83" s="102"/>
      <c r="I83" s="7" t="s">
        <v>166</v>
      </c>
    </row>
    <row r="84" spans="1:12" ht="13.9" customHeight="1">
      <c r="A84" s="412"/>
      <c r="B84" s="412"/>
      <c r="C84" s="6">
        <v>2222</v>
      </c>
      <c r="D84" s="47"/>
      <c r="E84" s="40"/>
      <c r="F84" s="102">
        <v>500</v>
      </c>
      <c r="G84" s="100"/>
      <c r="H84" s="102"/>
      <c r="I84" s="7" t="s">
        <v>216</v>
      </c>
    </row>
    <row r="85" spans="1:12" ht="13.9" customHeight="1">
      <c r="A85" s="412"/>
      <c r="B85" s="412"/>
      <c r="C85" s="6">
        <v>2222</v>
      </c>
      <c r="D85" s="47"/>
      <c r="E85" s="40"/>
      <c r="F85" s="102">
        <v>600</v>
      </c>
      <c r="G85" s="100"/>
      <c r="H85" s="102"/>
      <c r="I85" s="7" t="s">
        <v>217</v>
      </c>
    </row>
    <row r="86" spans="1:12" ht="13.9" customHeight="1">
      <c r="A86" s="412"/>
      <c r="B86" s="412"/>
      <c r="C86" s="6">
        <v>2222</v>
      </c>
      <c r="D86" s="47"/>
      <c r="E86" s="40"/>
      <c r="F86" s="102">
        <v>100</v>
      </c>
      <c r="G86" s="100"/>
      <c r="H86" s="102"/>
      <c r="I86" s="7" t="s">
        <v>218</v>
      </c>
    </row>
    <row r="87" spans="1:12" ht="13.9" customHeight="1">
      <c r="A87" s="412"/>
      <c r="B87" s="412"/>
      <c r="C87" s="6">
        <v>2222</v>
      </c>
      <c r="D87" s="47"/>
      <c r="E87" s="40"/>
      <c r="F87" s="102">
        <v>300</v>
      </c>
      <c r="G87" s="100"/>
      <c r="H87" s="102"/>
      <c r="I87" s="7" t="s">
        <v>219</v>
      </c>
    </row>
    <row r="88" spans="1:12">
      <c r="A88" s="412"/>
      <c r="B88" s="412"/>
      <c r="C88" s="6">
        <v>2232</v>
      </c>
      <c r="D88" s="47"/>
      <c r="E88" s="100">
        <v>1126.5999999999999</v>
      </c>
      <c r="F88" s="102"/>
      <c r="G88" s="100"/>
      <c r="H88" s="102"/>
      <c r="I88" s="424" t="s">
        <v>155</v>
      </c>
    </row>
    <row r="89" spans="1:12" ht="13.5" thickBot="1">
      <c r="A89" s="413"/>
      <c r="B89" s="413"/>
      <c r="C89" s="126">
        <v>3112</v>
      </c>
      <c r="D89" s="149"/>
      <c r="E89" s="127">
        <v>49.6</v>
      </c>
      <c r="F89" s="140"/>
      <c r="G89" s="127"/>
      <c r="H89" s="140"/>
      <c r="I89" s="427"/>
      <c r="J89" s="51">
        <f>SUM(E74:E89)</f>
        <v>1536.6</v>
      </c>
      <c r="K89" s="51">
        <f>SUM(F74:F89)</f>
        <v>22178.6</v>
      </c>
      <c r="L89" s="122">
        <f>K89-J89</f>
        <v>20642</v>
      </c>
    </row>
    <row r="90" spans="1:12">
      <c r="A90" s="411"/>
      <c r="B90" s="411" t="s">
        <v>28</v>
      </c>
      <c r="C90" s="33">
        <v>2111</v>
      </c>
      <c r="D90" s="147"/>
      <c r="E90" s="128">
        <f>637.5+29.6</f>
        <v>667.1</v>
      </c>
      <c r="F90" s="143"/>
      <c r="G90" s="128"/>
      <c r="H90" s="143"/>
      <c r="I90" s="423" t="s">
        <v>144</v>
      </c>
    </row>
    <row r="91" spans="1:12">
      <c r="A91" s="412"/>
      <c r="B91" s="412"/>
      <c r="C91" s="6">
        <v>2121</v>
      </c>
      <c r="D91" s="47"/>
      <c r="E91" s="100">
        <f>95.3+4.4</f>
        <v>99.7</v>
      </c>
      <c r="F91" s="102"/>
      <c r="G91" s="100"/>
      <c r="H91" s="102"/>
      <c r="I91" s="424"/>
    </row>
    <row r="92" spans="1:12">
      <c r="A92" s="412"/>
      <c r="B92" s="412"/>
      <c r="C92" s="6">
        <v>3111</v>
      </c>
      <c r="D92" s="47"/>
      <c r="E92" s="100">
        <v>1500</v>
      </c>
      <c r="F92" s="102">
        <v>1500</v>
      </c>
      <c r="G92" s="100"/>
      <c r="H92" s="102"/>
      <c r="I92" s="157" t="s">
        <v>148</v>
      </c>
    </row>
    <row r="93" spans="1:12" ht="25.5">
      <c r="A93" s="412"/>
      <c r="B93" s="412"/>
      <c r="C93" s="6">
        <v>221549</v>
      </c>
      <c r="D93" s="47"/>
      <c r="E93" s="100">
        <v>5</v>
      </c>
      <c r="F93" s="102"/>
      <c r="G93" s="100"/>
      <c r="H93" s="102"/>
      <c r="I93" s="157" t="s">
        <v>174</v>
      </c>
    </row>
    <row r="94" spans="1:12" ht="25.5">
      <c r="A94" s="412"/>
      <c r="B94" s="412"/>
      <c r="C94" s="6">
        <v>221549</v>
      </c>
      <c r="D94" s="47"/>
      <c r="E94" s="100"/>
      <c r="F94" s="102">
        <v>5</v>
      </c>
      <c r="G94" s="100"/>
      <c r="H94" s="102"/>
      <c r="I94" s="157" t="s">
        <v>175</v>
      </c>
    </row>
    <row r="95" spans="1:12">
      <c r="A95" s="412"/>
      <c r="B95" s="412"/>
      <c r="C95" s="6">
        <v>221543</v>
      </c>
      <c r="D95" s="47"/>
      <c r="E95" s="100"/>
      <c r="F95" s="102">
        <v>12</v>
      </c>
      <c r="G95" s="100"/>
      <c r="H95" s="102"/>
      <c r="I95" s="157" t="s">
        <v>176</v>
      </c>
    </row>
    <row r="96" spans="1:12" ht="26.25" thickBot="1">
      <c r="A96" s="413"/>
      <c r="B96" s="413"/>
      <c r="C96" s="126">
        <v>221549</v>
      </c>
      <c r="D96" s="149"/>
      <c r="E96" s="127">
        <v>12</v>
      </c>
      <c r="F96" s="140"/>
      <c r="G96" s="127"/>
      <c r="H96" s="140"/>
      <c r="I96" s="158" t="s">
        <v>177</v>
      </c>
      <c r="J96" s="51">
        <f>SUM(E90:E96)</f>
        <v>2283.8000000000002</v>
      </c>
      <c r="K96" s="51">
        <f>SUM(F90:F96)</f>
        <v>1517</v>
      </c>
      <c r="L96" s="122">
        <f>K96-J96</f>
        <v>-766.80000000000018</v>
      </c>
    </row>
    <row r="97" spans="1:12">
      <c r="A97" s="411"/>
      <c r="B97" s="411" t="s">
        <v>15</v>
      </c>
      <c r="C97" s="33">
        <v>2214</v>
      </c>
      <c r="D97" s="128"/>
      <c r="E97" s="128"/>
      <c r="F97" s="143">
        <v>20</v>
      </c>
      <c r="G97" s="128"/>
      <c r="H97" s="143"/>
      <c r="I97" s="156" t="s">
        <v>137</v>
      </c>
    </row>
    <row r="98" spans="1:12">
      <c r="A98" s="412"/>
      <c r="B98" s="412"/>
      <c r="C98" s="6">
        <v>2111</v>
      </c>
      <c r="D98" s="100"/>
      <c r="E98" s="100"/>
      <c r="F98" s="102">
        <v>242.5</v>
      </c>
      <c r="G98" s="100"/>
      <c r="H98" s="102"/>
      <c r="I98" s="424" t="s">
        <v>179</v>
      </c>
    </row>
    <row r="99" spans="1:12">
      <c r="A99" s="412"/>
      <c r="B99" s="412"/>
      <c r="C99" s="6">
        <v>2121</v>
      </c>
      <c r="D99" s="100"/>
      <c r="E99" s="100"/>
      <c r="F99" s="102">
        <v>36.200000000000003</v>
      </c>
      <c r="G99" s="100"/>
      <c r="H99" s="102"/>
      <c r="I99" s="424"/>
    </row>
    <row r="100" spans="1:12" ht="13.5" thickBot="1">
      <c r="A100" s="413"/>
      <c r="B100" s="413"/>
      <c r="C100" s="126">
        <v>3112</v>
      </c>
      <c r="D100" s="127"/>
      <c r="E100" s="127"/>
      <c r="F100" s="140">
        <v>100</v>
      </c>
      <c r="G100" s="127"/>
      <c r="H100" s="140"/>
      <c r="I100" s="158" t="s">
        <v>138</v>
      </c>
      <c r="K100" s="50">
        <f>SUM(F97:F100)</f>
        <v>398.7</v>
      </c>
    </row>
    <row r="101" spans="1:12">
      <c r="A101" s="411"/>
      <c r="B101" s="414" t="s">
        <v>139</v>
      </c>
      <c r="C101" s="33">
        <v>2111</v>
      </c>
      <c r="D101" s="128"/>
      <c r="E101" s="128"/>
      <c r="F101" s="143">
        <v>287.8</v>
      </c>
      <c r="G101" s="128"/>
      <c r="H101" s="143"/>
      <c r="I101" s="423" t="s">
        <v>135</v>
      </c>
    </row>
    <row r="102" spans="1:12">
      <c r="A102" s="412"/>
      <c r="B102" s="415"/>
      <c r="C102" s="6">
        <v>2121</v>
      </c>
      <c r="D102" s="100"/>
      <c r="E102" s="100"/>
      <c r="F102" s="102">
        <v>43.1</v>
      </c>
      <c r="G102" s="100"/>
      <c r="H102" s="102"/>
      <c r="I102" s="424"/>
    </row>
    <row r="103" spans="1:12">
      <c r="A103" s="412"/>
      <c r="B103" s="415"/>
      <c r="C103" s="6">
        <v>2214</v>
      </c>
      <c r="D103" s="100"/>
      <c r="E103" s="100"/>
      <c r="F103" s="102">
        <v>30</v>
      </c>
      <c r="G103" s="100"/>
      <c r="H103" s="102"/>
      <c r="I103" s="157" t="s">
        <v>140</v>
      </c>
    </row>
    <row r="104" spans="1:12" ht="13.5" thickBot="1">
      <c r="A104" s="413"/>
      <c r="B104" s="416"/>
      <c r="C104" s="126">
        <v>3112</v>
      </c>
      <c r="D104" s="127"/>
      <c r="E104" s="127"/>
      <c r="F104" s="140">
        <v>50</v>
      </c>
      <c r="G104" s="127"/>
      <c r="H104" s="140"/>
      <c r="I104" s="151" t="s">
        <v>141</v>
      </c>
      <c r="K104" s="50">
        <f>SUM(F101:F104)</f>
        <v>410.90000000000003</v>
      </c>
    </row>
    <row r="105" spans="1:12" ht="26.25" thickBot="1">
      <c r="A105" s="152"/>
      <c r="B105" s="145" t="s">
        <v>142</v>
      </c>
      <c r="C105" s="134">
        <v>2511</v>
      </c>
      <c r="D105" s="137"/>
      <c r="E105" s="137"/>
      <c r="F105" s="153">
        <v>137</v>
      </c>
      <c r="G105" s="136"/>
      <c r="H105" s="142"/>
      <c r="I105" s="154" t="s">
        <v>143</v>
      </c>
      <c r="K105" s="50">
        <f>F105</f>
        <v>137</v>
      </c>
    </row>
    <row r="106" spans="1:12" ht="13.5" thickBot="1">
      <c r="A106" s="152"/>
      <c r="B106" s="145" t="s">
        <v>21</v>
      </c>
      <c r="C106" s="135">
        <v>2511</v>
      </c>
      <c r="D106" s="136"/>
      <c r="E106" s="136">
        <v>1145.4000000000001</v>
      </c>
      <c r="F106" s="142"/>
      <c r="G106" s="136"/>
      <c r="H106" s="142"/>
      <c r="I106" s="154" t="s">
        <v>155</v>
      </c>
      <c r="J106" s="51">
        <f>E106</f>
        <v>1145.4000000000001</v>
      </c>
    </row>
    <row r="107" spans="1:12">
      <c r="A107" s="411"/>
      <c r="B107" s="414" t="s">
        <v>22</v>
      </c>
      <c r="C107" s="33">
        <v>2721</v>
      </c>
      <c r="D107" s="128"/>
      <c r="E107" s="128">
        <v>8160</v>
      </c>
      <c r="F107" s="143"/>
      <c r="G107" s="128"/>
      <c r="H107" s="143"/>
      <c r="I107" s="148" t="s">
        <v>170</v>
      </c>
    </row>
    <row r="108" spans="1:12">
      <c r="A108" s="412"/>
      <c r="B108" s="415"/>
      <c r="C108" s="6">
        <v>2221</v>
      </c>
      <c r="D108" s="100"/>
      <c r="E108" s="100">
        <v>105</v>
      </c>
      <c r="F108" s="102"/>
      <c r="G108" s="100"/>
      <c r="H108" s="102"/>
      <c r="I108" s="7" t="s">
        <v>207</v>
      </c>
    </row>
    <row r="109" spans="1:12">
      <c r="A109" s="412"/>
      <c r="B109" s="415"/>
      <c r="C109" s="6">
        <v>3112</v>
      </c>
      <c r="D109" s="100"/>
      <c r="E109" s="100"/>
      <c r="F109" s="102">
        <v>1050</v>
      </c>
      <c r="G109" s="100"/>
      <c r="H109" s="102"/>
      <c r="I109" s="7" t="s">
        <v>221</v>
      </c>
    </row>
    <row r="110" spans="1:12">
      <c r="A110" s="412"/>
      <c r="B110" s="415"/>
      <c r="C110" s="6">
        <v>3112</v>
      </c>
      <c r="D110" s="100"/>
      <c r="E110" s="100"/>
      <c r="F110" s="102">
        <v>300</v>
      </c>
      <c r="G110" s="100"/>
      <c r="H110" s="102"/>
      <c r="I110" s="7" t="s">
        <v>220</v>
      </c>
    </row>
    <row r="111" spans="1:12" ht="13.5" thickBot="1">
      <c r="A111" s="413"/>
      <c r="B111" s="416"/>
      <c r="C111" s="126">
        <v>3112</v>
      </c>
      <c r="D111" s="127"/>
      <c r="E111" s="127"/>
      <c r="F111" s="140">
        <v>105</v>
      </c>
      <c r="G111" s="127"/>
      <c r="H111" s="140"/>
      <c r="I111" s="151" t="s">
        <v>173</v>
      </c>
      <c r="J111" s="51">
        <f>SUM(E107:E111)</f>
        <v>8265</v>
      </c>
      <c r="K111" s="51">
        <f>SUM(F107:F111)</f>
        <v>1455</v>
      </c>
      <c r="L111" s="122">
        <f>K111-J111</f>
        <v>-6810</v>
      </c>
    </row>
    <row r="112" spans="1:12">
      <c r="A112" s="411"/>
      <c r="B112" s="414" t="s">
        <v>146</v>
      </c>
      <c r="C112" s="33">
        <v>2721</v>
      </c>
      <c r="D112" s="128"/>
      <c r="E112" s="128">
        <v>1740</v>
      </c>
      <c r="F112" s="143"/>
      <c r="G112" s="128"/>
      <c r="H112" s="143"/>
      <c r="I112" s="148" t="s">
        <v>170</v>
      </c>
    </row>
    <row r="113" spans="1:12">
      <c r="A113" s="412"/>
      <c r="B113" s="415"/>
      <c r="C113" s="6">
        <v>2214</v>
      </c>
      <c r="D113" s="100"/>
      <c r="E113" s="100">
        <v>30</v>
      </c>
      <c r="F113" s="102"/>
      <c r="G113" s="100"/>
      <c r="H113" s="102"/>
      <c r="I113" s="7" t="s">
        <v>171</v>
      </c>
    </row>
    <row r="114" spans="1:12">
      <c r="A114" s="412"/>
      <c r="B114" s="415"/>
      <c r="C114" s="6">
        <v>3112</v>
      </c>
      <c r="D114" s="100"/>
      <c r="E114" s="100"/>
      <c r="F114" s="102">
        <v>200</v>
      </c>
      <c r="G114" s="100"/>
      <c r="H114" s="102"/>
      <c r="I114" s="7" t="s">
        <v>222</v>
      </c>
    </row>
    <row r="115" spans="1:12" ht="13.5" thickBot="1">
      <c r="A115" s="413"/>
      <c r="B115" s="416"/>
      <c r="C115" s="126">
        <v>3112</v>
      </c>
      <c r="D115" s="127"/>
      <c r="E115" s="127"/>
      <c r="F115" s="140">
        <v>30</v>
      </c>
      <c r="G115" s="127"/>
      <c r="H115" s="140"/>
      <c r="I115" s="151" t="s">
        <v>172</v>
      </c>
      <c r="J115" s="51">
        <f>SUM(E112:E115)</f>
        <v>1770</v>
      </c>
      <c r="K115" s="51">
        <f>SUM(F112:F115)</f>
        <v>230</v>
      </c>
      <c r="L115" s="122">
        <f>K115-J115</f>
        <v>-1540</v>
      </c>
    </row>
    <row r="116" spans="1:12" ht="13.5" thickBot="1">
      <c r="A116" s="152"/>
      <c r="B116" s="145" t="s">
        <v>147</v>
      </c>
      <c r="C116" s="135">
        <v>2721</v>
      </c>
      <c r="D116" s="136"/>
      <c r="E116" s="136">
        <v>390</v>
      </c>
      <c r="F116" s="142"/>
      <c r="G116" s="136"/>
      <c r="H116" s="142"/>
      <c r="I116" s="154" t="s">
        <v>230</v>
      </c>
      <c r="J116" s="51">
        <v>390</v>
      </c>
    </row>
    <row r="117" spans="1:12">
      <c r="A117" s="150"/>
      <c r="B117" s="121"/>
      <c r="C117" s="124"/>
      <c r="D117" s="125"/>
      <c r="E117" s="125"/>
      <c r="F117" s="139"/>
      <c r="G117" s="125"/>
      <c r="H117" s="139"/>
      <c r="I117" s="146"/>
      <c r="J117" s="51"/>
      <c r="K117" s="51"/>
      <c r="L117" s="122"/>
    </row>
    <row r="118" spans="1:12">
      <c r="A118" s="8"/>
      <c r="B118" s="120" t="s">
        <v>229</v>
      </c>
      <c r="C118" s="6"/>
      <c r="D118" s="100"/>
      <c r="E118" s="100"/>
      <c r="F118" s="100">
        <v>-7479.4</v>
      </c>
      <c r="G118" s="100"/>
      <c r="H118" s="102"/>
      <c r="I118" s="7"/>
      <c r="K118" s="48">
        <v>-7479.4</v>
      </c>
    </row>
    <row r="119" spans="1:12">
      <c r="A119" s="104"/>
      <c r="B119" s="8"/>
      <c r="C119" s="6"/>
      <c r="D119" s="99">
        <f>SUM(D6:D116)</f>
        <v>0</v>
      </c>
      <c r="E119" s="99">
        <f>SUM(E6:E118)</f>
        <v>80714.500000000015</v>
      </c>
      <c r="F119" s="99">
        <f>SUM(F6:F118)</f>
        <v>80714.464999999997</v>
      </c>
      <c r="G119" s="99">
        <f>SUM(G6:G27)</f>
        <v>0</v>
      </c>
      <c r="H119" s="99">
        <f>SUM(H6:H27)</f>
        <v>0</v>
      </c>
      <c r="I119" s="7"/>
      <c r="J119" s="51">
        <f>SUM(J12:J118)</f>
        <v>80714.5</v>
      </c>
      <c r="K119" s="51">
        <f>SUM(K12:K118)</f>
        <v>80714.464999999997</v>
      </c>
      <c r="L119" s="155">
        <f>K119-J119</f>
        <v>-3.500000000349246E-2</v>
      </c>
    </row>
    <row r="120" spans="1:12">
      <c r="A120" s="53"/>
      <c r="B120" s="42"/>
      <c r="C120" s="34"/>
      <c r="D120" s="103"/>
      <c r="E120" s="103"/>
      <c r="F120" s="103">
        <f>F119-E119</f>
        <v>-3.5000000018044375E-2</v>
      </c>
      <c r="G120" s="103"/>
      <c r="H120" s="103">
        <f>G119-H119</f>
        <v>0</v>
      </c>
      <c r="I120" s="38"/>
    </row>
    <row r="121" spans="1:12">
      <c r="A121" s="53"/>
      <c r="B121" s="42"/>
      <c r="C121" s="34"/>
      <c r="D121" s="103"/>
      <c r="E121" s="103"/>
      <c r="F121" s="103"/>
      <c r="G121" s="103"/>
      <c r="H121" s="103"/>
      <c r="I121" s="38"/>
    </row>
    <row r="122" spans="1:12">
      <c r="A122" s="53"/>
      <c r="B122" s="112" t="s">
        <v>155</v>
      </c>
      <c r="C122" s="113">
        <f>E119</f>
        <v>80714.500000000015</v>
      </c>
      <c r="D122" s="103"/>
      <c r="E122" s="103"/>
      <c r="F122" s="103"/>
      <c r="G122" s="103"/>
      <c r="H122" s="103"/>
      <c r="I122" s="38"/>
    </row>
    <row r="123" spans="1:12">
      <c r="A123" s="53"/>
      <c r="B123" s="112" t="s">
        <v>156</v>
      </c>
      <c r="C123" s="113">
        <f>F119</f>
        <v>80714.464999999997</v>
      </c>
      <c r="D123" s="103"/>
      <c r="E123" s="103"/>
      <c r="F123" s="103"/>
      <c r="G123" s="103"/>
      <c r="H123" s="103"/>
      <c r="I123" s="38"/>
    </row>
    <row r="124" spans="1:12">
      <c r="A124" s="53"/>
      <c r="B124" s="42"/>
      <c r="C124" s="34"/>
      <c r="D124" s="43"/>
      <c r="E124" s="43"/>
      <c r="F124" s="43"/>
      <c r="G124" s="43"/>
      <c r="H124" s="43"/>
      <c r="I124" s="38"/>
    </row>
    <row r="125" spans="1:12">
      <c r="F125" s="51"/>
      <c r="H125" s="51"/>
    </row>
    <row r="126" spans="1:12">
      <c r="B126" s="46"/>
    </row>
    <row r="128" spans="1:12">
      <c r="A128" s="34"/>
      <c r="B128" s="53"/>
      <c r="C128" s="53"/>
      <c r="D128" s="45"/>
      <c r="E128" s="45"/>
      <c r="F128" s="41"/>
      <c r="G128" s="45"/>
      <c r="H128" s="41"/>
      <c r="I128" s="42"/>
    </row>
    <row r="129" spans="1:9">
      <c r="A129" s="54"/>
      <c r="B129" s="54"/>
      <c r="C129" s="54"/>
      <c r="D129" s="54"/>
      <c r="E129" s="55"/>
      <c r="F129" s="55"/>
      <c r="G129" s="55"/>
      <c r="H129" s="54"/>
      <c r="I129" s="54"/>
    </row>
    <row r="130" spans="1:9">
      <c r="A130" s="49"/>
      <c r="B130" s="49"/>
      <c r="C130" s="49"/>
      <c r="D130" s="49"/>
      <c r="E130" s="49"/>
      <c r="F130" s="49"/>
      <c r="G130" s="49"/>
      <c r="H130" s="49"/>
      <c r="I130" s="49"/>
    </row>
    <row r="131" spans="1:9">
      <c r="A131" s="49"/>
      <c r="B131" s="49"/>
      <c r="C131" s="49"/>
      <c r="D131" s="49"/>
      <c r="E131" s="49"/>
      <c r="F131" s="49"/>
      <c r="G131" s="49"/>
      <c r="H131" s="49"/>
      <c r="I131" s="49"/>
    </row>
    <row r="132" spans="1:9">
      <c r="A132" s="49"/>
      <c r="B132" s="49"/>
      <c r="C132" s="49"/>
      <c r="D132" s="49"/>
      <c r="E132" s="49"/>
      <c r="F132" s="49"/>
      <c r="G132" s="49"/>
      <c r="H132" s="49"/>
      <c r="I132" s="49"/>
    </row>
    <row r="133" spans="1:9">
      <c r="A133" s="49"/>
      <c r="B133" s="49"/>
      <c r="C133" s="49"/>
      <c r="D133" s="49"/>
      <c r="E133" s="49"/>
      <c r="F133" s="49"/>
      <c r="G133" s="49"/>
      <c r="H133" s="49"/>
      <c r="I133" s="49"/>
    </row>
    <row r="134" spans="1:9">
      <c r="A134" s="49"/>
      <c r="B134" s="49"/>
      <c r="C134" s="49"/>
      <c r="D134" s="49"/>
      <c r="E134" s="49"/>
      <c r="F134" s="49"/>
      <c r="G134" s="49"/>
      <c r="H134" s="49"/>
      <c r="I134" s="49"/>
    </row>
    <row r="135" spans="1:9">
      <c r="A135" s="49"/>
      <c r="B135" s="49"/>
      <c r="C135" s="49"/>
      <c r="D135" s="49"/>
      <c r="E135" s="49"/>
      <c r="F135" s="49"/>
      <c r="G135" s="49"/>
      <c r="H135" s="49"/>
      <c r="I135" s="49"/>
    </row>
    <row r="136" spans="1:9">
      <c r="A136" s="49"/>
      <c r="B136" s="49"/>
      <c r="C136" s="49"/>
      <c r="D136" s="49"/>
      <c r="E136" s="49"/>
      <c r="F136" s="49"/>
      <c r="G136" s="49"/>
      <c r="H136" s="49"/>
      <c r="I136" s="49"/>
    </row>
    <row r="137" spans="1:9">
      <c r="A137" s="49"/>
      <c r="B137" s="49"/>
      <c r="C137" s="49"/>
      <c r="D137" s="49"/>
      <c r="E137" s="49"/>
      <c r="F137" s="49"/>
      <c r="G137" s="49"/>
      <c r="H137" s="49"/>
      <c r="I137" s="49"/>
    </row>
    <row r="138" spans="1:9">
      <c r="A138" s="49"/>
      <c r="B138" s="49"/>
      <c r="C138" s="49"/>
      <c r="D138" s="49"/>
      <c r="E138" s="49"/>
      <c r="F138" s="49"/>
      <c r="G138" s="49"/>
      <c r="H138" s="49"/>
      <c r="I138" s="49"/>
    </row>
    <row r="139" spans="1:9">
      <c r="A139" s="49"/>
      <c r="B139" s="49"/>
      <c r="C139" s="49"/>
      <c r="D139" s="49"/>
      <c r="E139" s="49"/>
      <c r="F139" s="49"/>
      <c r="G139" s="49"/>
      <c r="H139" s="49"/>
      <c r="I139" s="49"/>
    </row>
    <row r="140" spans="1:9">
      <c r="A140" s="49"/>
      <c r="B140" s="49"/>
      <c r="C140" s="49"/>
      <c r="D140" s="49"/>
      <c r="E140" s="49"/>
      <c r="F140" s="49"/>
      <c r="G140" s="49"/>
      <c r="H140" s="49"/>
      <c r="I140" s="49"/>
    </row>
    <row r="141" spans="1:9">
      <c r="A141" s="49"/>
      <c r="B141" s="49"/>
      <c r="C141" s="49"/>
      <c r="D141" s="49"/>
      <c r="E141" s="49"/>
      <c r="F141" s="49"/>
      <c r="G141" s="49"/>
      <c r="H141" s="49"/>
      <c r="I141" s="49"/>
    </row>
    <row r="142" spans="1:9">
      <c r="A142" s="49"/>
      <c r="B142" s="49"/>
      <c r="C142" s="49"/>
      <c r="D142" s="49"/>
      <c r="E142" s="49"/>
      <c r="F142" s="49"/>
      <c r="G142" s="49"/>
      <c r="H142" s="49"/>
      <c r="I142" s="49"/>
    </row>
    <row r="143" spans="1:9">
      <c r="A143" s="49"/>
      <c r="B143" s="49"/>
      <c r="C143" s="49"/>
      <c r="D143" s="49"/>
      <c r="E143" s="49"/>
      <c r="F143" s="49"/>
      <c r="G143" s="49"/>
      <c r="H143" s="49"/>
      <c r="I143" s="49"/>
    </row>
    <row r="144" spans="1:9">
      <c r="A144" s="49"/>
      <c r="B144" s="49"/>
      <c r="C144" s="49"/>
      <c r="D144" s="49"/>
      <c r="E144" s="49"/>
      <c r="F144" s="49"/>
      <c r="G144" s="49"/>
      <c r="H144" s="49"/>
      <c r="I144" s="49"/>
    </row>
    <row r="145" spans="1:9">
      <c r="A145" s="49"/>
      <c r="B145" s="49"/>
      <c r="C145" s="49"/>
      <c r="D145" s="49"/>
      <c r="E145" s="49"/>
      <c r="F145" s="49"/>
      <c r="G145" s="49"/>
      <c r="H145" s="49"/>
      <c r="I145" s="49"/>
    </row>
    <row r="146" spans="1:9">
      <c r="A146" s="49"/>
      <c r="B146" s="49"/>
      <c r="C146" s="49"/>
      <c r="D146" s="49"/>
      <c r="E146" s="49"/>
      <c r="F146" s="49"/>
      <c r="G146" s="49"/>
      <c r="H146" s="49"/>
      <c r="I146" s="49"/>
    </row>
    <row r="147" spans="1:9">
      <c r="A147" s="49"/>
      <c r="B147" s="49"/>
      <c r="C147" s="49"/>
      <c r="D147" s="49"/>
      <c r="E147" s="49"/>
      <c r="F147" s="49"/>
      <c r="G147" s="49"/>
      <c r="H147" s="49"/>
      <c r="I147" s="49"/>
    </row>
    <row r="148" spans="1:9">
      <c r="A148" s="49"/>
      <c r="B148" s="49"/>
      <c r="C148" s="49"/>
      <c r="D148" s="49"/>
      <c r="E148" s="49"/>
      <c r="F148" s="49"/>
      <c r="G148" s="49"/>
      <c r="H148" s="49"/>
      <c r="I148" s="49"/>
    </row>
    <row r="149" spans="1:9">
      <c r="A149" s="49"/>
      <c r="B149" s="49"/>
      <c r="C149" s="49"/>
      <c r="D149" s="49"/>
      <c r="E149" s="49"/>
      <c r="F149" s="49"/>
      <c r="G149" s="49"/>
      <c r="H149" s="49"/>
      <c r="I149" s="49"/>
    </row>
    <row r="150" spans="1:9">
      <c r="A150" s="49"/>
      <c r="B150" s="49"/>
      <c r="C150" s="49"/>
      <c r="D150" s="49"/>
      <c r="E150" s="49"/>
      <c r="F150" s="49"/>
      <c r="G150" s="49"/>
      <c r="H150" s="49"/>
      <c r="I150" s="49"/>
    </row>
    <row r="151" spans="1:9">
      <c r="A151" s="49"/>
      <c r="B151" s="49"/>
      <c r="C151" s="49"/>
      <c r="D151" s="49"/>
      <c r="E151" s="49"/>
      <c r="F151" s="49"/>
      <c r="G151" s="49"/>
      <c r="H151" s="49"/>
      <c r="I151" s="49"/>
    </row>
    <row r="152" spans="1:9">
      <c r="A152" s="49"/>
      <c r="B152" s="49"/>
      <c r="C152" s="49"/>
      <c r="D152" s="49"/>
      <c r="E152" s="49"/>
      <c r="F152" s="49"/>
      <c r="G152" s="49"/>
      <c r="H152" s="49"/>
      <c r="I152" s="49"/>
    </row>
    <row r="153" spans="1:9">
      <c r="A153" s="49"/>
      <c r="B153" s="49"/>
      <c r="C153" s="49"/>
      <c r="D153" s="49"/>
      <c r="E153" s="49"/>
      <c r="F153" s="49"/>
      <c r="G153" s="49"/>
      <c r="H153" s="49"/>
      <c r="I153" s="49"/>
    </row>
    <row r="154" spans="1:9">
      <c r="A154" s="49"/>
      <c r="B154" s="49"/>
      <c r="C154" s="49"/>
      <c r="D154" s="49"/>
      <c r="E154" s="49"/>
      <c r="F154" s="49"/>
      <c r="G154" s="49"/>
      <c r="H154" s="49"/>
      <c r="I154" s="49"/>
    </row>
    <row r="155" spans="1:9">
      <c r="A155" s="49"/>
      <c r="B155" s="49"/>
      <c r="C155" s="49"/>
      <c r="D155" s="49"/>
      <c r="E155" s="49"/>
      <c r="F155" s="49"/>
      <c r="G155" s="49"/>
      <c r="H155" s="49"/>
      <c r="I155" s="49"/>
    </row>
    <row r="156" spans="1:9">
      <c r="A156" s="49"/>
      <c r="B156" s="49"/>
      <c r="C156" s="49"/>
      <c r="D156" s="49"/>
      <c r="E156" s="49"/>
      <c r="F156" s="49"/>
      <c r="G156" s="49"/>
      <c r="H156" s="49"/>
      <c r="I156" s="49"/>
    </row>
    <row r="157" spans="1:9">
      <c r="A157" s="49"/>
      <c r="B157" s="49"/>
      <c r="C157" s="49"/>
      <c r="D157" s="49"/>
      <c r="E157" s="49"/>
      <c r="F157" s="49"/>
      <c r="G157" s="49"/>
      <c r="H157" s="49"/>
      <c r="I157" s="49"/>
    </row>
    <row r="158" spans="1:9">
      <c r="A158" s="49"/>
      <c r="B158" s="49"/>
      <c r="C158" s="49"/>
      <c r="D158" s="49"/>
      <c r="E158" s="49"/>
      <c r="F158" s="49"/>
      <c r="G158" s="49"/>
      <c r="H158" s="49"/>
      <c r="I158" s="49"/>
    </row>
    <row r="159" spans="1:9">
      <c r="A159" s="49"/>
      <c r="B159" s="49"/>
      <c r="C159" s="49"/>
      <c r="D159" s="49"/>
      <c r="E159" s="49"/>
      <c r="F159" s="49"/>
      <c r="G159" s="49"/>
      <c r="H159" s="49"/>
      <c r="I159" s="49"/>
    </row>
    <row r="160" spans="1:9">
      <c r="A160" s="49"/>
      <c r="B160" s="49"/>
      <c r="C160" s="49"/>
      <c r="D160" s="49"/>
      <c r="E160" s="49"/>
      <c r="F160" s="49"/>
      <c r="G160" s="49"/>
      <c r="H160" s="49"/>
      <c r="I160" s="49"/>
    </row>
    <row r="161" spans="1:9">
      <c r="A161" s="49"/>
      <c r="B161" s="49"/>
      <c r="C161" s="49"/>
      <c r="D161" s="49"/>
      <c r="E161" s="49"/>
      <c r="F161" s="49"/>
      <c r="G161" s="49"/>
      <c r="H161" s="49"/>
      <c r="I161" s="49"/>
    </row>
    <row r="162" spans="1:9">
      <c r="A162" s="49"/>
      <c r="B162" s="49"/>
      <c r="C162" s="49"/>
      <c r="D162" s="49"/>
      <c r="E162" s="49"/>
      <c r="F162" s="49"/>
      <c r="G162" s="49"/>
      <c r="H162" s="49"/>
      <c r="I162" s="49"/>
    </row>
    <row r="163" spans="1:9">
      <c r="A163" s="49"/>
      <c r="B163" s="49"/>
      <c r="C163" s="49"/>
      <c r="D163" s="49"/>
      <c r="E163" s="49"/>
      <c r="F163" s="49"/>
      <c r="G163" s="49"/>
      <c r="H163" s="49"/>
      <c r="I163" s="49"/>
    </row>
    <row r="164" spans="1:9">
      <c r="A164" s="49"/>
      <c r="B164" s="49"/>
      <c r="C164" s="49"/>
      <c r="D164" s="49"/>
      <c r="E164" s="49"/>
      <c r="F164" s="49"/>
      <c r="G164" s="49"/>
      <c r="H164" s="49"/>
      <c r="I164" s="49"/>
    </row>
    <row r="165" spans="1:9">
      <c r="A165" s="49"/>
      <c r="B165" s="49"/>
      <c r="C165" s="49"/>
      <c r="D165" s="49"/>
      <c r="E165" s="49"/>
      <c r="F165" s="49"/>
      <c r="G165" s="49"/>
      <c r="H165" s="49"/>
      <c r="I165" s="49"/>
    </row>
    <row r="166" spans="1:9">
      <c r="A166" s="49"/>
      <c r="B166" s="49"/>
      <c r="C166" s="49"/>
      <c r="D166" s="49"/>
      <c r="E166" s="49"/>
      <c r="F166" s="49"/>
      <c r="G166" s="49"/>
      <c r="H166" s="49"/>
      <c r="I166" s="49"/>
    </row>
    <row r="167" spans="1:9">
      <c r="A167" s="49"/>
      <c r="B167" s="49"/>
      <c r="C167" s="49"/>
      <c r="D167" s="49"/>
      <c r="E167" s="49"/>
      <c r="F167" s="49"/>
      <c r="G167" s="49"/>
      <c r="H167" s="49"/>
      <c r="I167" s="49"/>
    </row>
    <row r="168" spans="1:9">
      <c r="A168" s="49"/>
      <c r="B168" s="49"/>
      <c r="C168" s="49"/>
      <c r="D168" s="49"/>
      <c r="E168" s="49"/>
      <c r="F168" s="49"/>
      <c r="G168" s="49"/>
      <c r="H168" s="49"/>
      <c r="I168" s="49"/>
    </row>
    <row r="169" spans="1:9">
      <c r="A169" s="49"/>
      <c r="B169" s="49"/>
      <c r="C169" s="49"/>
      <c r="D169" s="49"/>
      <c r="E169" s="49"/>
      <c r="F169" s="49"/>
      <c r="G169" s="49"/>
      <c r="H169" s="49"/>
      <c r="I169" s="49"/>
    </row>
    <row r="170" spans="1:9">
      <c r="A170" s="49"/>
      <c r="B170" s="49"/>
      <c r="C170" s="49"/>
      <c r="D170" s="49"/>
      <c r="E170" s="49"/>
      <c r="F170" s="49"/>
      <c r="G170" s="49"/>
      <c r="H170" s="49"/>
      <c r="I170" s="49"/>
    </row>
    <row r="171" spans="1:9">
      <c r="A171" s="49"/>
      <c r="B171" s="49"/>
      <c r="C171" s="49"/>
      <c r="D171" s="49"/>
      <c r="E171" s="49"/>
      <c r="F171" s="49"/>
      <c r="G171" s="49"/>
      <c r="H171" s="49"/>
      <c r="I171" s="49"/>
    </row>
    <row r="172" spans="1:9">
      <c r="A172" s="49"/>
      <c r="B172" s="49"/>
      <c r="C172" s="49"/>
      <c r="D172" s="49"/>
      <c r="E172" s="49"/>
      <c r="F172" s="49"/>
      <c r="G172" s="49"/>
      <c r="H172" s="49"/>
      <c r="I172" s="49"/>
    </row>
    <row r="173" spans="1:9">
      <c r="A173" s="49"/>
      <c r="B173" s="49"/>
      <c r="C173" s="49"/>
      <c r="D173" s="49"/>
      <c r="E173" s="49"/>
      <c r="F173" s="49"/>
      <c r="G173" s="49"/>
      <c r="H173" s="49"/>
      <c r="I173" s="49"/>
    </row>
    <row r="174" spans="1:9">
      <c r="A174" s="49"/>
      <c r="B174" s="49"/>
      <c r="C174" s="49"/>
      <c r="D174" s="49"/>
      <c r="E174" s="49"/>
      <c r="F174" s="49"/>
      <c r="G174" s="49"/>
      <c r="H174" s="49"/>
      <c r="I174" s="49"/>
    </row>
    <row r="175" spans="1:9">
      <c r="A175" s="49"/>
      <c r="B175" s="49"/>
      <c r="C175" s="49"/>
      <c r="D175" s="49"/>
      <c r="E175" s="49"/>
      <c r="F175" s="49"/>
      <c r="G175" s="49"/>
      <c r="H175" s="49"/>
      <c r="I175" s="49"/>
    </row>
    <row r="176" spans="1:9">
      <c r="A176" s="49"/>
      <c r="B176" s="49"/>
      <c r="C176" s="49"/>
      <c r="D176" s="49"/>
      <c r="E176" s="49"/>
      <c r="F176" s="49"/>
      <c r="G176" s="49"/>
      <c r="H176" s="49"/>
      <c r="I176" s="49"/>
    </row>
    <row r="177" spans="1:9">
      <c r="A177" s="49"/>
      <c r="B177" s="49"/>
      <c r="C177" s="49"/>
      <c r="D177" s="49"/>
      <c r="E177" s="49"/>
      <c r="F177" s="49"/>
      <c r="G177" s="49"/>
      <c r="H177" s="49"/>
      <c r="I177" s="49"/>
    </row>
    <row r="178" spans="1:9">
      <c r="A178" s="49"/>
      <c r="B178" s="49"/>
      <c r="C178" s="49"/>
      <c r="D178" s="49"/>
      <c r="E178" s="49"/>
      <c r="F178" s="49"/>
      <c r="G178" s="49"/>
      <c r="H178" s="49"/>
      <c r="I178" s="49"/>
    </row>
    <row r="179" spans="1:9">
      <c r="A179" s="49"/>
      <c r="B179" s="49"/>
      <c r="C179" s="49"/>
      <c r="D179" s="49"/>
      <c r="E179" s="49"/>
      <c r="F179" s="49"/>
      <c r="G179" s="49"/>
      <c r="H179" s="49"/>
      <c r="I179" s="49"/>
    </row>
    <row r="180" spans="1:9">
      <c r="A180" s="49"/>
      <c r="B180" s="49"/>
      <c r="C180" s="49"/>
      <c r="D180" s="49"/>
      <c r="E180" s="49"/>
      <c r="F180" s="49"/>
      <c r="G180" s="49"/>
      <c r="H180" s="49"/>
      <c r="I180" s="49"/>
    </row>
    <row r="181" spans="1:9">
      <c r="A181" s="49"/>
      <c r="B181" s="49"/>
      <c r="C181" s="49"/>
      <c r="D181" s="49"/>
      <c r="E181" s="49"/>
      <c r="F181" s="49"/>
      <c r="G181" s="49"/>
      <c r="H181" s="49"/>
      <c r="I181" s="49"/>
    </row>
    <row r="182" spans="1:9">
      <c r="A182" s="49"/>
      <c r="B182" s="49"/>
      <c r="C182" s="49"/>
      <c r="D182" s="49"/>
      <c r="E182" s="49"/>
      <c r="F182" s="49"/>
      <c r="G182" s="49"/>
      <c r="H182" s="49"/>
      <c r="I182" s="49"/>
    </row>
    <row r="183" spans="1:9">
      <c r="A183" s="49"/>
      <c r="B183" s="49"/>
      <c r="C183" s="49"/>
      <c r="D183" s="49"/>
      <c r="E183" s="49"/>
      <c r="F183" s="49"/>
      <c r="G183" s="49"/>
      <c r="H183" s="49"/>
      <c r="I183" s="49"/>
    </row>
    <row r="184" spans="1:9">
      <c r="A184" s="49"/>
      <c r="B184" s="49"/>
      <c r="C184" s="49"/>
      <c r="D184" s="49"/>
      <c r="E184" s="49"/>
      <c r="F184" s="49"/>
      <c r="G184" s="49"/>
      <c r="H184" s="49"/>
      <c r="I184" s="49"/>
    </row>
    <row r="185" spans="1:9">
      <c r="A185" s="49"/>
      <c r="B185" s="49"/>
      <c r="C185" s="49"/>
      <c r="D185" s="49"/>
      <c r="E185" s="49"/>
      <c r="F185" s="49"/>
      <c r="G185" s="49"/>
      <c r="H185" s="49"/>
      <c r="I185" s="49"/>
    </row>
    <row r="186" spans="1:9">
      <c r="A186" s="49"/>
      <c r="B186" s="49"/>
      <c r="C186" s="49"/>
      <c r="D186" s="49"/>
      <c r="E186" s="49"/>
      <c r="F186" s="49"/>
      <c r="G186" s="49"/>
      <c r="H186" s="49"/>
      <c r="I186" s="49"/>
    </row>
    <row r="187" spans="1:9">
      <c r="A187" s="49"/>
      <c r="B187" s="49"/>
      <c r="C187" s="49"/>
      <c r="D187" s="49"/>
      <c r="E187" s="49"/>
      <c r="F187" s="49"/>
      <c r="G187" s="49"/>
      <c r="H187" s="49"/>
      <c r="I187" s="49"/>
    </row>
    <row r="188" spans="1:9">
      <c r="A188" s="49"/>
      <c r="B188" s="49"/>
      <c r="C188" s="49"/>
      <c r="D188" s="49"/>
      <c r="E188" s="49"/>
      <c r="F188" s="49"/>
      <c r="G188" s="49"/>
      <c r="H188" s="49"/>
      <c r="I188" s="49"/>
    </row>
    <row r="189" spans="1:9">
      <c r="A189" s="49"/>
      <c r="B189" s="49"/>
      <c r="C189" s="49"/>
      <c r="D189" s="49"/>
      <c r="E189" s="49"/>
      <c r="F189" s="49"/>
      <c r="G189" s="49"/>
      <c r="H189" s="49"/>
      <c r="I189" s="49"/>
    </row>
    <row r="190" spans="1:9">
      <c r="A190" s="49"/>
      <c r="B190" s="49"/>
      <c r="C190" s="49"/>
      <c r="D190" s="49"/>
      <c r="E190" s="49"/>
      <c r="F190" s="49"/>
      <c r="G190" s="49"/>
      <c r="H190" s="49"/>
      <c r="I190" s="49"/>
    </row>
    <row r="191" spans="1:9">
      <c r="A191" s="49"/>
      <c r="B191" s="49"/>
      <c r="C191" s="49"/>
      <c r="D191" s="49"/>
      <c r="E191" s="49"/>
      <c r="F191" s="49"/>
      <c r="G191" s="49"/>
      <c r="H191" s="49"/>
      <c r="I191" s="49"/>
    </row>
    <row r="192" spans="1:9">
      <c r="A192" s="49"/>
      <c r="B192" s="49"/>
      <c r="C192" s="49"/>
      <c r="D192" s="49"/>
      <c r="E192" s="49"/>
      <c r="F192" s="49"/>
      <c r="G192" s="49"/>
      <c r="H192" s="49"/>
      <c r="I192" s="49"/>
    </row>
    <row r="193" spans="1:9">
      <c r="A193" s="49"/>
      <c r="B193" s="49"/>
      <c r="C193" s="49"/>
      <c r="D193" s="49"/>
      <c r="E193" s="49"/>
      <c r="F193" s="49"/>
      <c r="G193" s="49"/>
      <c r="H193" s="49"/>
      <c r="I193" s="49"/>
    </row>
    <row r="194" spans="1:9">
      <c r="A194" s="49"/>
      <c r="B194" s="49"/>
      <c r="C194" s="49"/>
      <c r="D194" s="49"/>
      <c r="E194" s="49"/>
      <c r="F194" s="49"/>
      <c r="G194" s="49"/>
      <c r="H194" s="49"/>
      <c r="I194" s="49"/>
    </row>
    <row r="195" spans="1:9">
      <c r="A195" s="49"/>
      <c r="B195" s="49"/>
      <c r="C195" s="49"/>
      <c r="D195" s="49"/>
      <c r="E195" s="49"/>
      <c r="F195" s="49"/>
      <c r="G195" s="49"/>
      <c r="H195" s="49"/>
      <c r="I195" s="49"/>
    </row>
    <row r="196" spans="1:9">
      <c r="A196" s="49"/>
      <c r="B196" s="49"/>
      <c r="C196" s="49"/>
      <c r="D196" s="49"/>
      <c r="E196" s="49"/>
      <c r="F196" s="49"/>
      <c r="G196" s="49"/>
      <c r="H196" s="49"/>
      <c r="I196" s="49"/>
    </row>
    <row r="197" spans="1:9">
      <c r="A197" s="49"/>
      <c r="B197" s="49"/>
      <c r="C197" s="49"/>
      <c r="D197" s="49"/>
      <c r="E197" s="49"/>
      <c r="F197" s="49"/>
      <c r="G197" s="49"/>
      <c r="H197" s="49"/>
      <c r="I197" s="49"/>
    </row>
    <row r="198" spans="1:9">
      <c r="A198" s="49"/>
      <c r="B198" s="49"/>
      <c r="C198" s="49"/>
      <c r="D198" s="49"/>
      <c r="E198" s="49"/>
      <c r="F198" s="49"/>
      <c r="G198" s="49"/>
      <c r="H198" s="49"/>
      <c r="I198" s="49"/>
    </row>
    <row r="199" spans="1:9">
      <c r="A199" s="49"/>
      <c r="B199" s="49"/>
      <c r="C199" s="49"/>
      <c r="D199" s="49"/>
      <c r="E199" s="49"/>
      <c r="F199" s="49"/>
      <c r="G199" s="49"/>
      <c r="H199" s="49"/>
      <c r="I199" s="49"/>
    </row>
    <row r="200" spans="1:9">
      <c r="A200" s="49"/>
      <c r="B200" s="49"/>
      <c r="C200" s="49"/>
      <c r="D200" s="49"/>
      <c r="E200" s="49"/>
      <c r="F200" s="49"/>
      <c r="G200" s="49"/>
      <c r="H200" s="49"/>
      <c r="I200" s="49"/>
    </row>
    <row r="201" spans="1:9">
      <c r="A201" s="49"/>
      <c r="B201" s="49"/>
      <c r="C201" s="49"/>
      <c r="D201" s="49"/>
      <c r="E201" s="49"/>
      <c r="F201" s="49"/>
      <c r="G201" s="49"/>
      <c r="H201" s="49"/>
      <c r="I201" s="49"/>
    </row>
    <row r="202" spans="1:9">
      <c r="A202" s="49"/>
      <c r="B202" s="49"/>
      <c r="C202" s="49"/>
      <c r="D202" s="49"/>
      <c r="E202" s="49"/>
      <c r="F202" s="49"/>
      <c r="G202" s="49"/>
      <c r="H202" s="49"/>
      <c r="I202" s="49"/>
    </row>
    <row r="203" spans="1:9">
      <c r="A203" s="49"/>
      <c r="B203" s="49"/>
      <c r="C203" s="49"/>
      <c r="D203" s="49"/>
      <c r="E203" s="49"/>
      <c r="F203" s="49"/>
      <c r="G203" s="49"/>
      <c r="H203" s="49"/>
      <c r="I203" s="49"/>
    </row>
  </sheetData>
  <mergeCells count="51">
    <mergeCell ref="A6:A12"/>
    <mergeCell ref="B6:B12"/>
    <mergeCell ref="I71:I72"/>
    <mergeCell ref="A28:A37"/>
    <mergeCell ref="I39:I40"/>
    <mergeCell ref="B28:B37"/>
    <mergeCell ref="I28:I29"/>
    <mergeCell ref="A15:A18"/>
    <mergeCell ref="B15:B18"/>
    <mergeCell ref="I15:I16"/>
    <mergeCell ref="I17:I18"/>
    <mergeCell ref="I19:I20"/>
    <mergeCell ref="B50:B54"/>
    <mergeCell ref="I51:I54"/>
    <mergeCell ref="I88:I89"/>
    <mergeCell ref="A50:A54"/>
    <mergeCell ref="I56:I57"/>
    <mergeCell ref="A69:A73"/>
    <mergeCell ref="B55:B63"/>
    <mergeCell ref="I101:I102"/>
    <mergeCell ref="B101:B104"/>
    <mergeCell ref="I98:I99"/>
    <mergeCell ref="A3:I3"/>
    <mergeCell ref="A13:A14"/>
    <mergeCell ref="B13:B14"/>
    <mergeCell ref="I7:I8"/>
    <mergeCell ref="B24:B26"/>
    <mergeCell ref="A24:A26"/>
    <mergeCell ref="B19:B21"/>
    <mergeCell ref="A19:A21"/>
    <mergeCell ref="A22:A23"/>
    <mergeCell ref="B22:B23"/>
    <mergeCell ref="I13:I14"/>
    <mergeCell ref="A101:A104"/>
    <mergeCell ref="I90:I91"/>
    <mergeCell ref="A107:A111"/>
    <mergeCell ref="A112:A115"/>
    <mergeCell ref="A39:A49"/>
    <mergeCell ref="B97:B100"/>
    <mergeCell ref="B39:B49"/>
    <mergeCell ref="A97:A100"/>
    <mergeCell ref="B90:B96"/>
    <mergeCell ref="A90:A96"/>
    <mergeCell ref="B69:B73"/>
    <mergeCell ref="A55:A63"/>
    <mergeCell ref="B107:B111"/>
    <mergeCell ref="B112:B115"/>
    <mergeCell ref="A64:A67"/>
    <mergeCell ref="B64:B67"/>
    <mergeCell ref="B74:B89"/>
    <mergeCell ref="A74:A89"/>
  </mergeCells>
  <pageMargins left="0.51181102362204722" right="0.11811023622047245" top="0.35433070866141736" bottom="0.15748031496062992" header="0.31496062992125984" footer="0.31496062992125984"/>
  <pageSetup paperSize="9" fitToHeight="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"/>
  <sheetViews>
    <sheetView tabSelected="1" zoomScale="85" zoomScaleNormal="85" workbookViewId="0">
      <selection activeCell="AC9" sqref="AC9"/>
    </sheetView>
  </sheetViews>
  <sheetFormatPr defaultColWidth="9.140625" defaultRowHeight="15.75"/>
  <cols>
    <col min="1" max="1" width="3.5703125" style="338" bestFit="1" customWidth="1"/>
    <col min="2" max="2" width="35.42578125" style="338" customWidth="1"/>
    <col min="3" max="6" width="11" style="338" customWidth="1"/>
    <col min="7" max="7" width="6.7109375" style="338" customWidth="1"/>
    <col min="8" max="8" width="9.5703125" style="338" customWidth="1"/>
    <col min="9" max="9" width="10.42578125" style="338" hidden="1" customWidth="1"/>
    <col min="10" max="11" width="9.42578125" style="338" hidden="1" customWidth="1"/>
    <col min="12" max="12" width="6.42578125" style="338" hidden="1" customWidth="1"/>
    <col min="13" max="13" width="9.85546875" style="338" hidden="1" customWidth="1"/>
    <col min="14" max="14" width="6.5703125" style="338" hidden="1" customWidth="1"/>
    <col min="15" max="15" width="10.85546875" style="338" hidden="1" customWidth="1"/>
    <col min="16" max="17" width="10.5703125" style="338" customWidth="1"/>
    <col min="18" max="18" width="15.85546875" style="338" customWidth="1"/>
    <col min="19" max="19" width="14.85546875" style="338" customWidth="1"/>
    <col min="20" max="20" width="10.140625" style="338" hidden="1" customWidth="1"/>
    <col min="21" max="21" width="14.28515625" style="338" hidden="1" customWidth="1"/>
    <col min="22" max="22" width="8.5703125" style="338" hidden="1" customWidth="1"/>
    <col min="23" max="23" width="10.28515625" style="338" hidden="1" customWidth="1"/>
    <col min="24" max="24" width="10" style="338" hidden="1" customWidth="1"/>
    <col min="25" max="25" width="11.28515625" style="338" hidden="1" customWidth="1"/>
    <col min="26" max="26" width="10" style="338" hidden="1" customWidth="1"/>
    <col min="27" max="27" width="11" style="338" hidden="1" customWidth="1"/>
    <col min="28" max="16384" width="9.140625" style="338"/>
  </cols>
  <sheetData>
    <row r="1" spans="1:28">
      <c r="A1" s="337"/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9"/>
      <c r="S1" s="409" t="s">
        <v>0</v>
      </c>
      <c r="T1" s="337"/>
      <c r="U1" s="337"/>
      <c r="V1" s="337"/>
      <c r="W1" s="337"/>
      <c r="AA1" s="339" t="s">
        <v>0</v>
      </c>
    </row>
    <row r="2" spans="1:28">
      <c r="A2" s="337"/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40"/>
      <c r="S2" s="410" t="s">
        <v>296</v>
      </c>
      <c r="T2" s="337"/>
      <c r="U2" s="337"/>
      <c r="V2" s="337"/>
      <c r="W2" s="337"/>
      <c r="AA2" s="340" t="s">
        <v>296</v>
      </c>
    </row>
    <row r="3" spans="1:28">
      <c r="A3" s="337"/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9"/>
      <c r="S3" s="409" t="s">
        <v>434</v>
      </c>
      <c r="T3" s="337"/>
      <c r="U3" s="337"/>
      <c r="V3" s="337"/>
      <c r="W3" s="337"/>
      <c r="AA3" s="339" t="s">
        <v>226</v>
      </c>
    </row>
    <row r="4" spans="1:28">
      <c r="A4" s="337"/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9"/>
      <c r="S4" s="409" t="s">
        <v>437</v>
      </c>
      <c r="T4" s="337"/>
      <c r="U4" s="337"/>
      <c r="V4" s="337"/>
      <c r="W4" s="337"/>
      <c r="AA4" s="339" t="s">
        <v>227</v>
      </c>
    </row>
    <row r="5" spans="1:28">
      <c r="A5" s="337"/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337"/>
      <c r="Q5" s="337"/>
      <c r="R5" s="341"/>
      <c r="S5" s="341" t="s">
        <v>412</v>
      </c>
      <c r="T5" s="337"/>
      <c r="U5" s="337"/>
      <c r="V5" s="337"/>
      <c r="W5" s="337"/>
      <c r="AA5" s="341" t="s">
        <v>412</v>
      </c>
    </row>
    <row r="6" spans="1:28">
      <c r="A6" s="337"/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337"/>
      <c r="Q6" s="337"/>
      <c r="R6" s="337"/>
      <c r="S6" s="337"/>
      <c r="T6" s="337"/>
      <c r="U6" s="337"/>
      <c r="V6" s="337"/>
      <c r="W6" s="337"/>
      <c r="X6" s="339"/>
    </row>
    <row r="7" spans="1:28" ht="33" customHeight="1">
      <c r="A7" s="471" t="s">
        <v>413</v>
      </c>
      <c r="B7" s="471"/>
      <c r="C7" s="471"/>
      <c r="D7" s="471"/>
      <c r="E7" s="471"/>
      <c r="F7" s="471"/>
      <c r="G7" s="471"/>
      <c r="H7" s="471"/>
      <c r="I7" s="471"/>
      <c r="J7" s="471"/>
      <c r="K7" s="471"/>
      <c r="L7" s="471"/>
      <c r="M7" s="471"/>
      <c r="N7" s="471"/>
      <c r="O7" s="471"/>
      <c r="P7" s="471"/>
      <c r="Q7" s="471"/>
      <c r="R7" s="471"/>
      <c r="S7" s="471"/>
      <c r="T7" s="471"/>
      <c r="U7" s="471"/>
      <c r="V7" s="471"/>
      <c r="W7" s="471"/>
      <c r="X7" s="471"/>
      <c r="Y7" s="471"/>
      <c r="Z7" s="471"/>
      <c r="AA7" s="471"/>
    </row>
    <row r="8" spans="1:28">
      <c r="A8" s="337"/>
      <c r="B8" s="337"/>
      <c r="C8" s="337"/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/>
      <c r="O8" s="337"/>
      <c r="P8" s="337"/>
      <c r="Q8" s="337"/>
      <c r="R8" s="337"/>
      <c r="S8" s="337"/>
      <c r="T8" s="337"/>
      <c r="U8" s="337"/>
      <c r="V8" s="337"/>
      <c r="W8" s="337"/>
      <c r="X8" s="337"/>
    </row>
    <row r="9" spans="1:28">
      <c r="A9" s="472" t="s">
        <v>2</v>
      </c>
      <c r="B9" s="472" t="s">
        <v>31</v>
      </c>
      <c r="C9" s="472" t="s">
        <v>32</v>
      </c>
      <c r="D9" s="472" t="s">
        <v>33</v>
      </c>
      <c r="E9" s="472" t="s">
        <v>359</v>
      </c>
      <c r="F9" s="475" t="s">
        <v>36</v>
      </c>
      <c r="G9" s="478" t="s">
        <v>360</v>
      </c>
      <c r="H9" s="479"/>
      <c r="I9" s="479"/>
      <c r="J9" s="479"/>
      <c r="K9" s="479"/>
      <c r="L9" s="479"/>
      <c r="M9" s="479"/>
      <c r="N9" s="479"/>
      <c r="O9" s="479"/>
      <c r="P9" s="479"/>
      <c r="Q9" s="480"/>
      <c r="R9" s="472" t="s">
        <v>41</v>
      </c>
      <c r="S9" s="481" t="s">
        <v>361</v>
      </c>
      <c r="T9" s="472" t="s">
        <v>362</v>
      </c>
      <c r="U9" s="472" t="s">
        <v>363</v>
      </c>
      <c r="V9" s="472" t="s">
        <v>364</v>
      </c>
      <c r="W9" s="472" t="s">
        <v>365</v>
      </c>
      <c r="X9" s="472" t="s">
        <v>366</v>
      </c>
      <c r="Y9" s="472" t="s">
        <v>367</v>
      </c>
      <c r="Z9" s="472" t="s">
        <v>368</v>
      </c>
      <c r="AA9" s="472" t="s">
        <v>369</v>
      </c>
    </row>
    <row r="10" spans="1:28" ht="123.75" customHeight="1">
      <c r="A10" s="473"/>
      <c r="B10" s="473"/>
      <c r="C10" s="473"/>
      <c r="D10" s="473"/>
      <c r="E10" s="473"/>
      <c r="F10" s="476"/>
      <c r="G10" s="485" t="s">
        <v>370</v>
      </c>
      <c r="H10" s="486"/>
      <c r="I10" s="342" t="s">
        <v>38</v>
      </c>
      <c r="J10" s="485" t="s">
        <v>371</v>
      </c>
      <c r="K10" s="486"/>
      <c r="L10" s="485" t="s">
        <v>372</v>
      </c>
      <c r="M10" s="486"/>
      <c r="N10" s="485" t="s">
        <v>39</v>
      </c>
      <c r="O10" s="486"/>
      <c r="P10" s="487" t="s">
        <v>373</v>
      </c>
      <c r="Q10" s="488"/>
      <c r="R10" s="474"/>
      <c r="S10" s="481"/>
      <c r="T10" s="474"/>
      <c r="U10" s="474"/>
      <c r="V10" s="474"/>
      <c r="W10" s="474"/>
      <c r="X10" s="474"/>
      <c r="Y10" s="474"/>
      <c r="Z10" s="474"/>
      <c r="AA10" s="474"/>
    </row>
    <row r="11" spans="1:28">
      <c r="A11" s="474"/>
      <c r="B11" s="474"/>
      <c r="C11" s="474"/>
      <c r="D11" s="474"/>
      <c r="E11" s="474"/>
      <c r="F11" s="477"/>
      <c r="G11" s="343" t="s">
        <v>5</v>
      </c>
      <c r="H11" s="343" t="s">
        <v>44</v>
      </c>
      <c r="I11" s="343" t="s">
        <v>44</v>
      </c>
      <c r="J11" s="343" t="s">
        <v>5</v>
      </c>
      <c r="K11" s="343" t="s">
        <v>44</v>
      </c>
      <c r="L11" s="343" t="s">
        <v>5</v>
      </c>
      <c r="M11" s="343" t="s">
        <v>44</v>
      </c>
      <c r="N11" s="343" t="s">
        <v>5</v>
      </c>
      <c r="O11" s="343" t="s">
        <v>44</v>
      </c>
      <c r="P11" s="343" t="s">
        <v>5</v>
      </c>
      <c r="Q11" s="343" t="s">
        <v>44</v>
      </c>
      <c r="R11" s="343" t="s">
        <v>44</v>
      </c>
      <c r="S11" s="343" t="s">
        <v>44</v>
      </c>
      <c r="T11" s="343" t="s">
        <v>44</v>
      </c>
      <c r="U11" s="343" t="s">
        <v>44</v>
      </c>
      <c r="V11" s="343" t="s">
        <v>44</v>
      </c>
      <c r="W11" s="343" t="s">
        <v>44</v>
      </c>
      <c r="X11" s="343" t="s">
        <v>44</v>
      </c>
      <c r="Y11" s="343" t="s">
        <v>44</v>
      </c>
      <c r="Z11" s="343" t="s">
        <v>44</v>
      </c>
      <c r="AA11" s="343" t="s">
        <v>44</v>
      </c>
    </row>
    <row r="12" spans="1:28">
      <c r="A12" s="343">
        <v>1</v>
      </c>
      <c r="B12" s="343">
        <v>2</v>
      </c>
      <c r="C12" s="343">
        <v>3</v>
      </c>
      <c r="D12" s="343">
        <v>4</v>
      </c>
      <c r="E12" s="343">
        <v>5</v>
      </c>
      <c r="F12" s="343">
        <v>6</v>
      </c>
      <c r="G12" s="343">
        <v>7</v>
      </c>
      <c r="H12" s="343">
        <v>8</v>
      </c>
      <c r="I12" s="343">
        <v>9</v>
      </c>
      <c r="J12" s="343">
        <v>10</v>
      </c>
      <c r="K12" s="343">
        <v>11</v>
      </c>
      <c r="L12" s="343">
        <v>10</v>
      </c>
      <c r="M12" s="343">
        <v>11</v>
      </c>
      <c r="N12" s="343">
        <v>12</v>
      </c>
      <c r="O12" s="343">
        <v>13</v>
      </c>
      <c r="P12" s="343">
        <v>9</v>
      </c>
      <c r="Q12" s="343">
        <v>10</v>
      </c>
      <c r="R12" s="343">
        <v>11</v>
      </c>
      <c r="S12" s="343">
        <v>12</v>
      </c>
      <c r="T12" s="343">
        <v>16</v>
      </c>
      <c r="U12" s="343">
        <v>17</v>
      </c>
      <c r="V12" s="344" t="s">
        <v>374</v>
      </c>
      <c r="W12" s="344" t="s">
        <v>379</v>
      </c>
      <c r="X12" s="344" t="s">
        <v>389</v>
      </c>
      <c r="Y12" s="344" t="s">
        <v>390</v>
      </c>
      <c r="Z12" s="344" t="s">
        <v>391</v>
      </c>
      <c r="AA12" s="344" t="s">
        <v>392</v>
      </c>
    </row>
    <row r="13" spans="1:28" ht="33" customHeight="1">
      <c r="A13" s="345">
        <v>1</v>
      </c>
      <c r="B13" s="396" t="s">
        <v>52</v>
      </c>
      <c r="C13" s="373">
        <v>1</v>
      </c>
      <c r="D13" s="373">
        <v>7040</v>
      </c>
      <c r="E13" s="373">
        <v>2.1</v>
      </c>
      <c r="F13" s="374">
        <f t="shared" ref="F13:F16" si="0">+D13*E13</f>
        <v>14784</v>
      </c>
      <c r="G13" s="375">
        <v>0</v>
      </c>
      <c r="H13" s="376">
        <f t="shared" ref="H13:H16" si="1">F13*G13</f>
        <v>0</v>
      </c>
      <c r="I13" s="377"/>
      <c r="J13" s="375"/>
      <c r="K13" s="378"/>
      <c r="L13" s="375"/>
      <c r="M13" s="376"/>
      <c r="N13" s="375">
        <v>0</v>
      </c>
      <c r="O13" s="376">
        <f t="shared" ref="O13:O16" si="2">+F13*N13</f>
        <v>0</v>
      </c>
      <c r="P13" s="379"/>
      <c r="Q13" s="376">
        <f t="shared" ref="Q13:Q16" si="3">F13*P13</f>
        <v>0</v>
      </c>
      <c r="R13" s="380">
        <f t="shared" ref="R13:R16" si="4">+F13+H13+I13+M13+O13+Q13</f>
        <v>14784</v>
      </c>
      <c r="S13" s="376">
        <f t="shared" ref="S13:S16" si="5">R13*C13</f>
        <v>14784</v>
      </c>
      <c r="T13" s="376">
        <f t="shared" ref="T13:T20" si="6">S13</f>
        <v>14784</v>
      </c>
      <c r="U13" s="376">
        <f t="shared" ref="U13:U20" si="7">S13*2</f>
        <v>29568</v>
      </c>
      <c r="V13" s="376"/>
      <c r="W13" s="376">
        <f>+S13*1</f>
        <v>14784</v>
      </c>
      <c r="X13" s="376"/>
      <c r="Y13" s="381">
        <f t="shared" ref="Y13:Y16" si="8">(S13*11)+T13+U13+W13</f>
        <v>221760</v>
      </c>
      <c r="Z13" s="381">
        <f t="shared" ref="Z13:Z16" si="9">((S13*11)+T13+W13)*0.1725</f>
        <v>33153.119999999995</v>
      </c>
      <c r="AA13" s="381">
        <f t="shared" ref="AA13:AA16" si="10">Y13+Z13+X13</f>
        <v>254913.12</v>
      </c>
      <c r="AB13" s="352"/>
    </row>
    <row r="14" spans="1:28">
      <c r="A14" s="345"/>
      <c r="B14" s="382" t="s">
        <v>414</v>
      </c>
      <c r="C14" s="383">
        <f>C13</f>
        <v>1</v>
      </c>
      <c r="D14" s="383">
        <f t="shared" ref="D14:AA14" si="11">D13</f>
        <v>7040</v>
      </c>
      <c r="E14" s="383">
        <f t="shared" si="11"/>
        <v>2.1</v>
      </c>
      <c r="F14" s="383">
        <f t="shared" si="11"/>
        <v>14784</v>
      </c>
      <c r="G14" s="383">
        <f t="shared" si="11"/>
        <v>0</v>
      </c>
      <c r="H14" s="383">
        <f t="shared" si="11"/>
        <v>0</v>
      </c>
      <c r="I14" s="383">
        <f t="shared" si="11"/>
        <v>0</v>
      </c>
      <c r="J14" s="383">
        <f t="shared" si="11"/>
        <v>0</v>
      </c>
      <c r="K14" s="383">
        <f t="shared" si="11"/>
        <v>0</v>
      </c>
      <c r="L14" s="383">
        <f t="shared" si="11"/>
        <v>0</v>
      </c>
      <c r="M14" s="383">
        <f t="shared" si="11"/>
        <v>0</v>
      </c>
      <c r="N14" s="383">
        <f t="shared" si="11"/>
        <v>0</v>
      </c>
      <c r="O14" s="383">
        <f t="shared" si="11"/>
        <v>0</v>
      </c>
      <c r="P14" s="383">
        <f t="shared" si="11"/>
        <v>0</v>
      </c>
      <c r="Q14" s="383">
        <f t="shared" si="11"/>
        <v>0</v>
      </c>
      <c r="R14" s="383">
        <f t="shared" si="11"/>
        <v>14784</v>
      </c>
      <c r="S14" s="383">
        <f t="shared" si="11"/>
        <v>14784</v>
      </c>
      <c r="T14" s="383">
        <f t="shared" si="11"/>
        <v>14784</v>
      </c>
      <c r="U14" s="383">
        <f t="shared" si="11"/>
        <v>29568</v>
      </c>
      <c r="V14" s="383">
        <f t="shared" si="11"/>
        <v>0</v>
      </c>
      <c r="W14" s="383">
        <f t="shared" si="11"/>
        <v>14784</v>
      </c>
      <c r="X14" s="383">
        <f t="shared" si="11"/>
        <v>0</v>
      </c>
      <c r="Y14" s="383">
        <f t="shared" si="11"/>
        <v>221760</v>
      </c>
      <c r="Z14" s="383">
        <f t="shared" si="11"/>
        <v>33153.119999999995</v>
      </c>
      <c r="AA14" s="383">
        <f t="shared" si="11"/>
        <v>254913.12</v>
      </c>
      <c r="AB14" s="352"/>
    </row>
    <row r="15" spans="1:28">
      <c r="A15" s="345">
        <v>2</v>
      </c>
      <c r="B15" s="372" t="s">
        <v>381</v>
      </c>
      <c r="C15" s="373">
        <v>1</v>
      </c>
      <c r="D15" s="373">
        <v>7040</v>
      </c>
      <c r="E15" s="373">
        <v>1.8</v>
      </c>
      <c r="F15" s="374">
        <f t="shared" si="0"/>
        <v>12672</v>
      </c>
      <c r="G15" s="375">
        <v>0.1</v>
      </c>
      <c r="H15" s="376">
        <f t="shared" si="1"/>
        <v>1267.2</v>
      </c>
      <c r="I15" s="384"/>
      <c r="J15" s="375"/>
      <c r="K15" s="378"/>
      <c r="L15" s="375"/>
      <c r="M15" s="376"/>
      <c r="N15" s="375"/>
      <c r="O15" s="376">
        <f t="shared" si="2"/>
        <v>0</v>
      </c>
      <c r="P15" s="379"/>
      <c r="Q15" s="376">
        <f t="shared" si="3"/>
        <v>0</v>
      </c>
      <c r="R15" s="380">
        <f t="shared" si="4"/>
        <v>13939.2</v>
      </c>
      <c r="S15" s="376">
        <f t="shared" si="5"/>
        <v>13939.2</v>
      </c>
      <c r="T15" s="376">
        <f t="shared" si="6"/>
        <v>13939.2</v>
      </c>
      <c r="U15" s="376">
        <f t="shared" si="7"/>
        <v>27878.400000000001</v>
      </c>
      <c r="V15" s="376"/>
      <c r="W15" s="376">
        <f t="shared" ref="W15:W22" si="12">+S15*1</f>
        <v>13939.2</v>
      </c>
      <c r="X15" s="376"/>
      <c r="Y15" s="381">
        <f t="shared" si="8"/>
        <v>209088.00000000003</v>
      </c>
      <c r="Z15" s="381">
        <f t="shared" si="9"/>
        <v>31258.656000000003</v>
      </c>
      <c r="AA15" s="381">
        <f t="shared" si="10"/>
        <v>240346.65600000002</v>
      </c>
      <c r="AB15" s="352"/>
    </row>
    <row r="16" spans="1:28" ht="28.15" customHeight="1">
      <c r="A16" s="345">
        <v>3</v>
      </c>
      <c r="B16" s="372" t="s">
        <v>419</v>
      </c>
      <c r="C16" s="373">
        <v>1</v>
      </c>
      <c r="D16" s="373">
        <v>7040</v>
      </c>
      <c r="E16" s="373">
        <v>1.52</v>
      </c>
      <c r="F16" s="374">
        <f t="shared" si="0"/>
        <v>10700.8</v>
      </c>
      <c r="G16" s="375">
        <v>0.1</v>
      </c>
      <c r="H16" s="376">
        <f t="shared" si="1"/>
        <v>1070.08</v>
      </c>
      <c r="I16" s="384"/>
      <c r="J16" s="375"/>
      <c r="K16" s="378"/>
      <c r="L16" s="375"/>
      <c r="M16" s="376"/>
      <c r="N16" s="375"/>
      <c r="O16" s="376">
        <f t="shared" si="2"/>
        <v>0</v>
      </c>
      <c r="P16" s="379"/>
      <c r="Q16" s="376">
        <f t="shared" si="3"/>
        <v>0</v>
      </c>
      <c r="R16" s="380">
        <f t="shared" si="4"/>
        <v>11770.88</v>
      </c>
      <c r="S16" s="376">
        <f t="shared" si="5"/>
        <v>11770.88</v>
      </c>
      <c r="T16" s="376">
        <f t="shared" si="6"/>
        <v>11770.88</v>
      </c>
      <c r="U16" s="376">
        <f t="shared" si="7"/>
        <v>23541.759999999998</v>
      </c>
      <c r="V16" s="376"/>
      <c r="W16" s="376">
        <f t="shared" si="12"/>
        <v>11770.88</v>
      </c>
      <c r="X16" s="376"/>
      <c r="Y16" s="381">
        <f t="shared" si="8"/>
        <v>176563.20000000001</v>
      </c>
      <c r="Z16" s="381">
        <f t="shared" si="9"/>
        <v>26396.198399999997</v>
      </c>
      <c r="AA16" s="381">
        <f t="shared" si="10"/>
        <v>202959.39840000001</v>
      </c>
      <c r="AB16" s="352"/>
    </row>
    <row r="17" spans="1:29" ht="13.15" customHeight="1">
      <c r="A17" s="343"/>
      <c r="B17" s="343" t="s">
        <v>415</v>
      </c>
      <c r="C17" s="387">
        <f>SUM(C15:C16)</f>
        <v>2</v>
      </c>
      <c r="D17" s="387">
        <f>SUM(D15:D16)</f>
        <v>14080</v>
      </c>
      <c r="E17" s="387">
        <f>SUM(E15:E16)</f>
        <v>3.3200000000000003</v>
      </c>
      <c r="F17" s="387">
        <f>SUM(F15:F16)</f>
        <v>23372.799999999999</v>
      </c>
      <c r="G17" s="387"/>
      <c r="H17" s="387">
        <f t="shared" ref="H17:M17" si="13">SUM(H15:H16)</f>
        <v>2337.2799999999997</v>
      </c>
      <c r="I17" s="387">
        <f t="shared" si="13"/>
        <v>0</v>
      </c>
      <c r="J17" s="387">
        <f t="shared" si="13"/>
        <v>0</v>
      </c>
      <c r="K17" s="387">
        <f t="shared" si="13"/>
        <v>0</v>
      </c>
      <c r="L17" s="387">
        <f t="shared" si="13"/>
        <v>0</v>
      </c>
      <c r="M17" s="387">
        <f t="shared" si="13"/>
        <v>0</v>
      </c>
      <c r="N17" s="387"/>
      <c r="O17" s="387">
        <f t="shared" ref="O17:AA17" si="14">SUM(O15:O16)</f>
        <v>0</v>
      </c>
      <c r="P17" s="387">
        <f t="shared" si="14"/>
        <v>0</v>
      </c>
      <c r="Q17" s="387">
        <f t="shared" si="14"/>
        <v>0</v>
      </c>
      <c r="R17" s="387">
        <f t="shared" si="14"/>
        <v>25710.080000000002</v>
      </c>
      <c r="S17" s="387">
        <f t="shared" si="14"/>
        <v>25710.080000000002</v>
      </c>
      <c r="T17" s="387">
        <f t="shared" si="14"/>
        <v>25710.080000000002</v>
      </c>
      <c r="U17" s="387">
        <f t="shared" si="14"/>
        <v>51420.160000000003</v>
      </c>
      <c r="V17" s="387">
        <f t="shared" si="14"/>
        <v>0</v>
      </c>
      <c r="W17" s="387">
        <f t="shared" si="14"/>
        <v>25710.080000000002</v>
      </c>
      <c r="X17" s="387">
        <f t="shared" si="14"/>
        <v>0</v>
      </c>
      <c r="Y17" s="387">
        <f t="shared" si="14"/>
        <v>385651.20000000007</v>
      </c>
      <c r="Z17" s="387">
        <f t="shared" si="14"/>
        <v>57654.854399999997</v>
      </c>
      <c r="AA17" s="387">
        <f t="shared" si="14"/>
        <v>443306.05440000002</v>
      </c>
    </row>
    <row r="18" spans="1:29" ht="33" customHeight="1">
      <c r="A18" s="345">
        <v>4</v>
      </c>
      <c r="B18" s="397" t="s">
        <v>420</v>
      </c>
      <c r="C18" s="373">
        <v>1</v>
      </c>
      <c r="D18" s="373">
        <v>7040</v>
      </c>
      <c r="E18" s="373">
        <v>1.1000000000000001</v>
      </c>
      <c r="F18" s="386">
        <f t="shared" ref="F18:F20" si="15">+D18*E18</f>
        <v>7744.0000000000009</v>
      </c>
      <c r="G18" s="375">
        <v>0.1</v>
      </c>
      <c r="H18" s="376">
        <f t="shared" ref="H18" si="16">F18*G18</f>
        <v>774.40000000000009</v>
      </c>
      <c r="I18" s="384"/>
      <c r="J18" s="375"/>
      <c r="K18" s="378">
        <f>F18*J18</f>
        <v>0</v>
      </c>
      <c r="L18" s="375"/>
      <c r="M18" s="376"/>
      <c r="N18" s="375"/>
      <c r="O18" s="376"/>
      <c r="P18" s="379"/>
      <c r="Q18" s="376">
        <f>F18*P18</f>
        <v>0</v>
      </c>
      <c r="R18" s="380">
        <f t="shared" ref="R18:R20" si="17">+F18+H18+I18+M18+O18+Q18</f>
        <v>8518.4000000000015</v>
      </c>
      <c r="S18" s="376">
        <f t="shared" ref="S18:S20" si="18">R18*C18</f>
        <v>8518.4000000000015</v>
      </c>
      <c r="T18" s="376">
        <f t="shared" si="6"/>
        <v>8518.4000000000015</v>
      </c>
      <c r="U18" s="376">
        <f t="shared" si="7"/>
        <v>17036.800000000003</v>
      </c>
      <c r="V18" s="376"/>
      <c r="W18" s="376">
        <f t="shared" si="12"/>
        <v>8518.4000000000015</v>
      </c>
      <c r="X18" s="376"/>
      <c r="Y18" s="381">
        <f t="shared" ref="Y18:Y20" si="19">(S18*11)+T18+U18+W18</f>
        <v>127776.00000000003</v>
      </c>
      <c r="Z18" s="381">
        <f t="shared" ref="Z18:Z20" si="20">((S18*11)+T18+W18)*0.1725</f>
        <v>19102.511999999999</v>
      </c>
      <c r="AA18" s="381">
        <f t="shared" ref="AA18:AA20" si="21">Y18+Z18+X18</f>
        <v>146878.51200000002</v>
      </c>
    </row>
    <row r="19" spans="1:29" ht="13.15" customHeight="1">
      <c r="A19" s="345">
        <v>5</v>
      </c>
      <c r="B19" s="388" t="s">
        <v>421</v>
      </c>
      <c r="C19" s="373">
        <v>1</v>
      </c>
      <c r="D19" s="373">
        <v>7040</v>
      </c>
      <c r="E19" s="389">
        <v>1.2</v>
      </c>
      <c r="F19" s="386">
        <f t="shared" si="15"/>
        <v>8448</v>
      </c>
      <c r="G19" s="375"/>
      <c r="H19" s="376"/>
      <c r="I19" s="384"/>
      <c r="J19" s="384"/>
      <c r="K19" s="384"/>
      <c r="L19" s="375"/>
      <c r="M19" s="376"/>
      <c r="N19" s="375"/>
      <c r="O19" s="376"/>
      <c r="P19" s="379"/>
      <c r="Q19" s="376">
        <f>F19*P19</f>
        <v>0</v>
      </c>
      <c r="R19" s="380">
        <f t="shared" si="17"/>
        <v>8448</v>
      </c>
      <c r="S19" s="376">
        <f t="shared" si="18"/>
        <v>8448</v>
      </c>
      <c r="T19" s="376">
        <f t="shared" si="6"/>
        <v>8448</v>
      </c>
      <c r="U19" s="376">
        <f t="shared" si="7"/>
        <v>16896</v>
      </c>
      <c r="V19" s="376"/>
      <c r="W19" s="376">
        <f t="shared" si="12"/>
        <v>8448</v>
      </c>
      <c r="X19" s="376"/>
      <c r="Y19" s="381">
        <f t="shared" si="19"/>
        <v>126720</v>
      </c>
      <c r="Z19" s="381">
        <f t="shared" si="20"/>
        <v>18944.64</v>
      </c>
      <c r="AA19" s="381">
        <f t="shared" si="21"/>
        <v>145664.64000000001</v>
      </c>
    </row>
    <row r="20" spans="1:29" ht="13.15" customHeight="1">
      <c r="A20" s="345">
        <v>6</v>
      </c>
      <c r="B20" s="388" t="s">
        <v>422</v>
      </c>
      <c r="C20" s="373">
        <v>1</v>
      </c>
      <c r="D20" s="373">
        <v>7040</v>
      </c>
      <c r="E20" s="389">
        <v>1.4</v>
      </c>
      <c r="F20" s="386">
        <f t="shared" si="15"/>
        <v>9856</v>
      </c>
      <c r="G20" s="375"/>
      <c r="H20" s="376"/>
      <c r="I20" s="384"/>
      <c r="J20" s="384"/>
      <c r="K20" s="384"/>
      <c r="L20" s="375"/>
      <c r="M20" s="376"/>
      <c r="N20" s="375"/>
      <c r="O20" s="376"/>
      <c r="P20" s="375"/>
      <c r="Q20" s="376">
        <f>F20*P20</f>
        <v>0</v>
      </c>
      <c r="R20" s="380">
        <f t="shared" si="17"/>
        <v>9856</v>
      </c>
      <c r="S20" s="376">
        <f t="shared" si="18"/>
        <v>9856</v>
      </c>
      <c r="T20" s="376">
        <f t="shared" si="6"/>
        <v>9856</v>
      </c>
      <c r="U20" s="376">
        <f t="shared" si="7"/>
        <v>19712</v>
      </c>
      <c r="V20" s="376"/>
      <c r="W20" s="376">
        <f t="shared" si="12"/>
        <v>9856</v>
      </c>
      <c r="X20" s="376"/>
      <c r="Y20" s="381">
        <f t="shared" si="19"/>
        <v>147840</v>
      </c>
      <c r="Z20" s="381">
        <f t="shared" si="20"/>
        <v>22102.079999999998</v>
      </c>
      <c r="AA20" s="381">
        <f t="shared" si="21"/>
        <v>169942.08</v>
      </c>
    </row>
    <row r="21" spans="1:29" ht="13.15" customHeight="1">
      <c r="A21" s="343"/>
      <c r="B21" s="343" t="s">
        <v>417</v>
      </c>
      <c r="C21" s="391">
        <f>SUM(C18:C20)</f>
        <v>3</v>
      </c>
      <c r="D21" s="391">
        <f>SUM(D18:D20)</f>
        <v>21120</v>
      </c>
      <c r="E21" s="392"/>
      <c r="F21" s="387">
        <f t="shared" ref="F21:M21" si="22">SUM(F18:F20)</f>
        <v>26048</v>
      </c>
      <c r="G21" s="391">
        <f t="shared" si="22"/>
        <v>0.1</v>
      </c>
      <c r="H21" s="387">
        <f t="shared" si="22"/>
        <v>774.40000000000009</v>
      </c>
      <c r="I21" s="391">
        <f t="shared" si="22"/>
        <v>0</v>
      </c>
      <c r="J21" s="391">
        <f t="shared" si="22"/>
        <v>0</v>
      </c>
      <c r="K21" s="391">
        <f t="shared" si="22"/>
        <v>0</v>
      </c>
      <c r="L21" s="391">
        <f t="shared" si="22"/>
        <v>0</v>
      </c>
      <c r="M21" s="391">
        <f t="shared" si="22"/>
        <v>0</v>
      </c>
      <c r="N21" s="391"/>
      <c r="O21" s="387">
        <f>SUM(O18:O20)</f>
        <v>0</v>
      </c>
      <c r="P21" s="387"/>
      <c r="Q21" s="387">
        <f t="shared" ref="Q21:AA21" si="23">SUM(Q18:Q20)</f>
        <v>0</v>
      </c>
      <c r="R21" s="387">
        <f t="shared" si="23"/>
        <v>26822.400000000001</v>
      </c>
      <c r="S21" s="387">
        <f t="shared" si="23"/>
        <v>26822.400000000001</v>
      </c>
      <c r="T21" s="387">
        <f t="shared" si="23"/>
        <v>26822.400000000001</v>
      </c>
      <c r="U21" s="387">
        <f t="shared" si="23"/>
        <v>53644.800000000003</v>
      </c>
      <c r="V21" s="387">
        <f t="shared" si="23"/>
        <v>0</v>
      </c>
      <c r="W21" s="387">
        <f t="shared" si="23"/>
        <v>26822.400000000001</v>
      </c>
      <c r="X21" s="387">
        <f t="shared" si="23"/>
        <v>0</v>
      </c>
      <c r="Y21" s="387">
        <f t="shared" si="23"/>
        <v>402336</v>
      </c>
      <c r="Z21" s="387">
        <f t="shared" si="23"/>
        <v>60149.232000000004</v>
      </c>
      <c r="AA21" s="387">
        <f t="shared" si="23"/>
        <v>462485.23199999996</v>
      </c>
    </row>
    <row r="22" spans="1:29" ht="13.15" customHeight="1">
      <c r="A22" s="345">
        <v>7</v>
      </c>
      <c r="B22" s="390" t="s">
        <v>423</v>
      </c>
      <c r="C22" s="373">
        <v>1</v>
      </c>
      <c r="D22" s="373">
        <v>7040</v>
      </c>
      <c r="E22" s="385">
        <v>1</v>
      </c>
      <c r="F22" s="386">
        <f>+D22*E22</f>
        <v>7040</v>
      </c>
      <c r="G22" s="375"/>
      <c r="H22" s="376"/>
      <c r="I22" s="384"/>
      <c r="J22" s="375"/>
      <c r="K22" s="378"/>
      <c r="L22" s="375"/>
      <c r="M22" s="376"/>
      <c r="N22" s="375"/>
      <c r="O22" s="376"/>
      <c r="P22" s="379"/>
      <c r="Q22" s="376">
        <f>F22*P22</f>
        <v>0</v>
      </c>
      <c r="R22" s="380">
        <f>+F22+H22+I22+M22+O22+Q22</f>
        <v>7040</v>
      </c>
      <c r="S22" s="376">
        <f>R22*C22</f>
        <v>7040</v>
      </c>
      <c r="T22" s="376">
        <f t="shared" ref="T22" si="24">S22</f>
        <v>7040</v>
      </c>
      <c r="U22" s="376">
        <f t="shared" ref="U22" si="25">S22*2</f>
        <v>14080</v>
      </c>
      <c r="V22" s="376"/>
      <c r="W22" s="376">
        <f t="shared" si="12"/>
        <v>7040</v>
      </c>
      <c r="X22" s="376"/>
      <c r="Y22" s="381">
        <f>(S22*11)+T22+U22+W22</f>
        <v>105600</v>
      </c>
      <c r="Z22" s="381">
        <f>((S22*11)+T22+W22)*0.1725</f>
        <v>15787.199999999999</v>
      </c>
      <c r="AA22" s="381">
        <f>Y22+Z22+X22</f>
        <v>121387.2</v>
      </c>
    </row>
    <row r="23" spans="1:29" ht="13.15" customHeight="1">
      <c r="A23" s="345">
        <v>8</v>
      </c>
      <c r="B23" s="390" t="s">
        <v>424</v>
      </c>
      <c r="C23" s="373">
        <v>5</v>
      </c>
      <c r="D23" s="373">
        <v>7040</v>
      </c>
      <c r="E23" s="385">
        <v>1</v>
      </c>
      <c r="F23" s="386">
        <f t="shared" ref="F23:F24" si="26">+D23*E23</f>
        <v>7040</v>
      </c>
      <c r="G23" s="375"/>
      <c r="H23" s="376"/>
      <c r="I23" s="384"/>
      <c r="J23" s="375"/>
      <c r="K23" s="378"/>
      <c r="L23" s="375"/>
      <c r="M23" s="376"/>
      <c r="N23" s="375"/>
      <c r="O23" s="376"/>
      <c r="P23" s="398">
        <v>0.25</v>
      </c>
      <c r="Q23" s="376">
        <f t="shared" ref="Q23:Q24" si="27">F23*P23</f>
        <v>1760</v>
      </c>
      <c r="R23" s="380">
        <f t="shared" ref="R23:R24" si="28">+F23+H23+I23+M23+O23+Q23</f>
        <v>8800</v>
      </c>
      <c r="S23" s="376">
        <f t="shared" ref="S23:S24" si="29">R23*C23</f>
        <v>44000</v>
      </c>
      <c r="T23" s="376">
        <f t="shared" ref="T23:T24" si="30">S23</f>
        <v>44000</v>
      </c>
      <c r="U23" s="376">
        <f t="shared" ref="U23:U24" si="31">S23*2</f>
        <v>88000</v>
      </c>
      <c r="V23" s="376"/>
      <c r="W23" s="376">
        <f t="shared" ref="W23:W24" si="32">+S23*1</f>
        <v>44000</v>
      </c>
      <c r="X23" s="376"/>
      <c r="Y23" s="381">
        <f t="shared" ref="Y23:Y24" si="33">(S23*11)+T23+U23+W23</f>
        <v>660000</v>
      </c>
      <c r="Z23" s="381">
        <f t="shared" ref="Z23:Z24" si="34">((S23*11)+T23+W23)*0.1725</f>
        <v>98669.999999999985</v>
      </c>
      <c r="AA23" s="381">
        <f t="shared" ref="AA23:AA24" si="35">Y23+Z23+X23</f>
        <v>758670</v>
      </c>
    </row>
    <row r="24" spans="1:29" ht="13.15" customHeight="1">
      <c r="A24" s="345">
        <v>9</v>
      </c>
      <c r="B24" s="388" t="s">
        <v>416</v>
      </c>
      <c r="C24" s="373">
        <v>3</v>
      </c>
      <c r="D24" s="373">
        <v>7040</v>
      </c>
      <c r="E24" s="385">
        <v>1</v>
      </c>
      <c r="F24" s="386">
        <f t="shared" si="26"/>
        <v>7040</v>
      </c>
      <c r="G24" s="375"/>
      <c r="H24" s="376"/>
      <c r="I24" s="384"/>
      <c r="J24" s="375"/>
      <c r="K24" s="378"/>
      <c r="L24" s="375"/>
      <c r="M24" s="376"/>
      <c r="N24" s="375"/>
      <c r="O24" s="376"/>
      <c r="P24" s="398">
        <v>0.5</v>
      </c>
      <c r="Q24" s="376">
        <f t="shared" si="27"/>
        <v>3520</v>
      </c>
      <c r="R24" s="380">
        <f t="shared" si="28"/>
        <v>10560</v>
      </c>
      <c r="S24" s="376">
        <f t="shared" si="29"/>
        <v>31680</v>
      </c>
      <c r="T24" s="376">
        <f t="shared" si="30"/>
        <v>31680</v>
      </c>
      <c r="U24" s="376">
        <f t="shared" si="31"/>
        <v>63360</v>
      </c>
      <c r="V24" s="376"/>
      <c r="W24" s="376">
        <f t="shared" si="32"/>
        <v>31680</v>
      </c>
      <c r="X24" s="376"/>
      <c r="Y24" s="381">
        <f t="shared" si="33"/>
        <v>475200</v>
      </c>
      <c r="Z24" s="381">
        <f t="shared" si="34"/>
        <v>71042.399999999994</v>
      </c>
      <c r="AA24" s="381">
        <f t="shared" si="35"/>
        <v>546242.4</v>
      </c>
    </row>
    <row r="25" spans="1:29" ht="13.15" customHeight="1">
      <c r="A25" s="343"/>
      <c r="B25" s="343" t="s">
        <v>418</v>
      </c>
      <c r="C25" s="391">
        <f>SUM(C22:C24)</f>
        <v>9</v>
      </c>
      <c r="D25" s="391">
        <f t="shared" ref="D25:AA25" si="36">SUM(D22:D24)</f>
        <v>21120</v>
      </c>
      <c r="E25" s="392"/>
      <c r="F25" s="387">
        <f t="shared" si="36"/>
        <v>21120</v>
      </c>
      <c r="G25" s="391">
        <f t="shared" si="36"/>
        <v>0</v>
      </c>
      <c r="H25" s="387">
        <f t="shared" si="36"/>
        <v>0</v>
      </c>
      <c r="I25" s="391">
        <f t="shared" si="36"/>
        <v>0</v>
      </c>
      <c r="J25" s="391">
        <f t="shared" si="36"/>
        <v>0</v>
      </c>
      <c r="K25" s="391">
        <f t="shared" si="36"/>
        <v>0</v>
      </c>
      <c r="L25" s="391">
        <f t="shared" si="36"/>
        <v>0</v>
      </c>
      <c r="M25" s="391">
        <f t="shared" si="36"/>
        <v>0</v>
      </c>
      <c r="N25" s="391">
        <f t="shared" si="36"/>
        <v>0</v>
      </c>
      <c r="O25" s="387">
        <f t="shared" si="36"/>
        <v>0</v>
      </c>
      <c r="P25" s="387">
        <f t="shared" si="36"/>
        <v>0.75</v>
      </c>
      <c r="Q25" s="387">
        <f t="shared" si="36"/>
        <v>5280</v>
      </c>
      <c r="R25" s="387">
        <f t="shared" si="36"/>
        <v>26400</v>
      </c>
      <c r="S25" s="387">
        <f t="shared" si="36"/>
        <v>82720</v>
      </c>
      <c r="T25" s="387">
        <f t="shared" si="36"/>
        <v>82720</v>
      </c>
      <c r="U25" s="387">
        <f t="shared" si="36"/>
        <v>165440</v>
      </c>
      <c r="V25" s="387">
        <f t="shared" si="36"/>
        <v>0</v>
      </c>
      <c r="W25" s="387">
        <f t="shared" si="36"/>
        <v>82720</v>
      </c>
      <c r="X25" s="387">
        <f t="shared" si="36"/>
        <v>0</v>
      </c>
      <c r="Y25" s="387">
        <f t="shared" si="36"/>
        <v>1240800</v>
      </c>
      <c r="Z25" s="387">
        <f t="shared" si="36"/>
        <v>185499.59999999998</v>
      </c>
      <c r="AA25" s="387">
        <f t="shared" si="36"/>
        <v>1426299.6</v>
      </c>
    </row>
    <row r="26" spans="1:29" ht="13.15" customHeight="1">
      <c r="A26" s="393"/>
      <c r="B26" s="394" t="s">
        <v>386</v>
      </c>
      <c r="C26" s="395">
        <f>C14+C17+C21+C25</f>
        <v>15</v>
      </c>
      <c r="D26" s="395">
        <f>D14+D17+D21+D25</f>
        <v>63360</v>
      </c>
      <c r="E26" s="395"/>
      <c r="F26" s="395">
        <f t="shared" ref="F26:AA26" si="37">F14+F17+F21+F25</f>
        <v>85324.800000000003</v>
      </c>
      <c r="G26" s="395">
        <f t="shared" si="37"/>
        <v>0.1</v>
      </c>
      <c r="H26" s="395">
        <f t="shared" si="37"/>
        <v>3111.68</v>
      </c>
      <c r="I26" s="395">
        <f t="shared" si="37"/>
        <v>0</v>
      </c>
      <c r="J26" s="395">
        <f t="shared" si="37"/>
        <v>0</v>
      </c>
      <c r="K26" s="395">
        <f t="shared" si="37"/>
        <v>0</v>
      </c>
      <c r="L26" s="395">
        <f t="shared" si="37"/>
        <v>0</v>
      </c>
      <c r="M26" s="395">
        <f t="shared" si="37"/>
        <v>0</v>
      </c>
      <c r="N26" s="395">
        <f t="shared" si="37"/>
        <v>0</v>
      </c>
      <c r="O26" s="395">
        <f t="shared" si="37"/>
        <v>0</v>
      </c>
      <c r="P26" s="395">
        <f t="shared" si="37"/>
        <v>0.75</v>
      </c>
      <c r="Q26" s="395">
        <f t="shared" si="37"/>
        <v>5280</v>
      </c>
      <c r="R26" s="395">
        <f t="shared" si="37"/>
        <v>93716.48000000001</v>
      </c>
      <c r="S26" s="395">
        <f t="shared" si="37"/>
        <v>150036.48000000001</v>
      </c>
      <c r="T26" s="395">
        <f t="shared" si="37"/>
        <v>150036.48000000001</v>
      </c>
      <c r="U26" s="395">
        <f t="shared" si="37"/>
        <v>300072.96000000002</v>
      </c>
      <c r="V26" s="395">
        <f t="shared" si="37"/>
        <v>0</v>
      </c>
      <c r="W26" s="395">
        <f t="shared" si="37"/>
        <v>150036.48000000001</v>
      </c>
      <c r="X26" s="395">
        <f t="shared" si="37"/>
        <v>0</v>
      </c>
      <c r="Y26" s="395">
        <f t="shared" si="37"/>
        <v>2250547.2000000002</v>
      </c>
      <c r="Z26" s="395">
        <f t="shared" si="37"/>
        <v>336456.8064</v>
      </c>
      <c r="AA26" s="395">
        <f t="shared" si="37"/>
        <v>2587004.0064000003</v>
      </c>
    </row>
    <row r="29" spans="1:29">
      <c r="B29" s="356" t="s">
        <v>111</v>
      </c>
      <c r="Y29" s="355"/>
      <c r="Z29" s="357"/>
      <c r="AA29" s="355"/>
      <c r="AC29" s="352"/>
    </row>
  </sheetData>
  <mergeCells count="23">
    <mergeCell ref="X9:X10"/>
    <mergeCell ref="Y9:Y10"/>
    <mergeCell ref="P10:Q10"/>
    <mergeCell ref="T9:T10"/>
    <mergeCell ref="U9:U10"/>
    <mergeCell ref="V9:V10"/>
    <mergeCell ref="W9:W10"/>
    <mergeCell ref="A7:AA7"/>
    <mergeCell ref="A9:A11"/>
    <mergeCell ref="B9:B11"/>
    <mergeCell ref="C9:C11"/>
    <mergeCell ref="D9:D11"/>
    <mergeCell ref="E9:E11"/>
    <mergeCell ref="F9:F11"/>
    <mergeCell ref="G9:Q9"/>
    <mergeCell ref="R9:R10"/>
    <mergeCell ref="S9:S10"/>
    <mergeCell ref="Z9:Z10"/>
    <mergeCell ref="AA9:AA10"/>
    <mergeCell ref="G10:H10"/>
    <mergeCell ref="J10:K10"/>
    <mergeCell ref="L10:M10"/>
    <mergeCell ref="N10:O10"/>
  </mergeCells>
  <pageMargins left="0.39370078740157483" right="0.39370078740157483" top="0.39370078740157483" bottom="0.39370078740157483" header="0.31496062992125984" footer="0.31496062992125984"/>
  <pageSetup paperSize="9" scale="90" fitToHeight="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9"/>
  <sheetViews>
    <sheetView topLeftCell="A7" workbookViewId="0">
      <selection activeCell="B27" sqref="B27:O27"/>
    </sheetView>
  </sheetViews>
  <sheetFormatPr defaultColWidth="9.28515625" defaultRowHeight="12.75"/>
  <cols>
    <col min="1" max="1" width="3.28515625" style="56" bestFit="1" customWidth="1"/>
    <col min="2" max="2" width="22.7109375" style="56" customWidth="1"/>
    <col min="3" max="3" width="4" style="56" customWidth="1"/>
    <col min="4" max="4" width="6.140625" style="56" customWidth="1"/>
    <col min="5" max="5" width="5.42578125" style="56" customWidth="1"/>
    <col min="6" max="6" width="7.7109375" style="56" customWidth="1"/>
    <col min="7" max="7" width="5.28515625" style="56" customWidth="1"/>
    <col min="8" max="8" width="7" style="56" customWidth="1"/>
    <col min="9" max="9" width="6.85546875" style="56" hidden="1" customWidth="1"/>
    <col min="10" max="10" width="5" style="56" hidden="1" customWidth="1"/>
    <col min="11" max="11" width="7.28515625" style="56" hidden="1" customWidth="1"/>
    <col min="12" max="12" width="6.42578125" style="56" customWidth="1"/>
    <col min="13" max="13" width="6.140625" style="56" customWidth="1"/>
    <col min="14" max="14" width="5.7109375" style="56" customWidth="1"/>
    <col min="15" max="15" width="6.7109375" style="56" customWidth="1"/>
    <col min="16" max="16" width="6.42578125" style="56" hidden="1" customWidth="1"/>
    <col min="17" max="17" width="5.7109375" style="56" hidden="1" customWidth="1"/>
    <col min="18" max="20" width="8.28515625" style="56" customWidth="1"/>
    <col min="21" max="21" width="10.140625" style="56" customWidth="1"/>
    <col min="22" max="22" width="8.28515625" style="56" hidden="1" customWidth="1"/>
    <col min="23" max="23" width="8.28515625" style="56" customWidth="1"/>
    <col min="24" max="24" width="8.28515625" style="56" hidden="1" customWidth="1"/>
    <col min="25" max="25" width="10.42578125" style="56" customWidth="1"/>
    <col min="26" max="26" width="8.28515625" style="56" customWidth="1"/>
    <col min="27" max="27" width="9.140625" style="56" customWidth="1"/>
    <col min="28" max="256" width="9.28515625" style="56"/>
    <col min="257" max="257" width="5" style="56" bestFit="1" customWidth="1"/>
    <col min="258" max="258" width="19.5703125" style="56" customWidth="1"/>
    <col min="259" max="259" width="9.7109375" style="56" customWidth="1"/>
    <col min="260" max="260" width="11" style="56" customWidth="1"/>
    <col min="261" max="262" width="7.42578125" style="56" customWidth="1"/>
    <col min="263" max="263" width="9.28515625" style="56"/>
    <col min="264" max="264" width="8.28515625" style="56" customWidth="1"/>
    <col min="265" max="265" width="11.5703125" style="56" customWidth="1"/>
    <col min="266" max="266" width="9.7109375" style="56" customWidth="1"/>
    <col min="267" max="267" width="9.42578125" style="56" customWidth="1"/>
    <col min="268" max="268" width="10.42578125" style="56" customWidth="1"/>
    <col min="269" max="270" width="0" style="56" hidden="1" customWidth="1"/>
    <col min="271" max="271" width="14.42578125" style="56" customWidth="1"/>
    <col min="272" max="272" width="12.7109375" style="56" customWidth="1"/>
    <col min="273" max="273" width="11.5703125" style="56" bestFit="1" customWidth="1"/>
    <col min="274" max="274" width="9.28515625" style="56"/>
    <col min="275" max="275" width="10.28515625" style="56" bestFit="1" customWidth="1"/>
    <col min="276" max="512" width="9.28515625" style="56"/>
    <col min="513" max="513" width="5" style="56" bestFit="1" customWidth="1"/>
    <col min="514" max="514" width="19.5703125" style="56" customWidth="1"/>
    <col min="515" max="515" width="9.7109375" style="56" customWidth="1"/>
    <col min="516" max="516" width="11" style="56" customWidth="1"/>
    <col min="517" max="518" width="7.42578125" style="56" customWidth="1"/>
    <col min="519" max="519" width="9.28515625" style="56"/>
    <col min="520" max="520" width="8.28515625" style="56" customWidth="1"/>
    <col min="521" max="521" width="11.5703125" style="56" customWidth="1"/>
    <col min="522" max="522" width="9.7109375" style="56" customWidth="1"/>
    <col min="523" max="523" width="9.42578125" style="56" customWidth="1"/>
    <col min="524" max="524" width="10.42578125" style="56" customWidth="1"/>
    <col min="525" max="526" width="0" style="56" hidden="1" customWidth="1"/>
    <col min="527" max="527" width="14.42578125" style="56" customWidth="1"/>
    <col min="528" max="528" width="12.7109375" style="56" customWidth="1"/>
    <col min="529" max="529" width="11.5703125" style="56" bestFit="1" customWidth="1"/>
    <col min="530" max="530" width="9.28515625" style="56"/>
    <col min="531" max="531" width="10.28515625" style="56" bestFit="1" customWidth="1"/>
    <col min="532" max="768" width="9.28515625" style="56"/>
    <col min="769" max="769" width="5" style="56" bestFit="1" customWidth="1"/>
    <col min="770" max="770" width="19.5703125" style="56" customWidth="1"/>
    <col min="771" max="771" width="9.7109375" style="56" customWidth="1"/>
    <col min="772" max="772" width="11" style="56" customWidth="1"/>
    <col min="773" max="774" width="7.42578125" style="56" customWidth="1"/>
    <col min="775" max="775" width="9.28515625" style="56"/>
    <col min="776" max="776" width="8.28515625" style="56" customWidth="1"/>
    <col min="777" max="777" width="11.5703125" style="56" customWidth="1"/>
    <col min="778" max="778" width="9.7109375" style="56" customWidth="1"/>
    <col min="779" max="779" width="9.42578125" style="56" customWidth="1"/>
    <col min="780" max="780" width="10.42578125" style="56" customWidth="1"/>
    <col min="781" max="782" width="0" style="56" hidden="1" customWidth="1"/>
    <col min="783" max="783" width="14.42578125" style="56" customWidth="1"/>
    <col min="784" max="784" width="12.7109375" style="56" customWidth="1"/>
    <col min="785" max="785" width="11.5703125" style="56" bestFit="1" customWidth="1"/>
    <col min="786" max="786" width="9.28515625" style="56"/>
    <col min="787" max="787" width="10.28515625" style="56" bestFit="1" customWidth="1"/>
    <col min="788" max="1024" width="9.28515625" style="56"/>
    <col min="1025" max="1025" width="5" style="56" bestFit="1" customWidth="1"/>
    <col min="1026" max="1026" width="19.5703125" style="56" customWidth="1"/>
    <col min="1027" max="1027" width="9.7109375" style="56" customWidth="1"/>
    <col min="1028" max="1028" width="11" style="56" customWidth="1"/>
    <col min="1029" max="1030" width="7.42578125" style="56" customWidth="1"/>
    <col min="1031" max="1031" width="9.28515625" style="56"/>
    <col min="1032" max="1032" width="8.28515625" style="56" customWidth="1"/>
    <col min="1033" max="1033" width="11.5703125" style="56" customWidth="1"/>
    <col min="1034" max="1034" width="9.7109375" style="56" customWidth="1"/>
    <col min="1035" max="1035" width="9.42578125" style="56" customWidth="1"/>
    <col min="1036" max="1036" width="10.42578125" style="56" customWidth="1"/>
    <col min="1037" max="1038" width="0" style="56" hidden="1" customWidth="1"/>
    <col min="1039" max="1039" width="14.42578125" style="56" customWidth="1"/>
    <col min="1040" max="1040" width="12.7109375" style="56" customWidth="1"/>
    <col min="1041" max="1041" width="11.5703125" style="56" bestFit="1" customWidth="1"/>
    <col min="1042" max="1042" width="9.28515625" style="56"/>
    <col min="1043" max="1043" width="10.28515625" style="56" bestFit="1" customWidth="1"/>
    <col min="1044" max="1280" width="9.28515625" style="56"/>
    <col min="1281" max="1281" width="5" style="56" bestFit="1" customWidth="1"/>
    <col min="1282" max="1282" width="19.5703125" style="56" customWidth="1"/>
    <col min="1283" max="1283" width="9.7109375" style="56" customWidth="1"/>
    <col min="1284" max="1284" width="11" style="56" customWidth="1"/>
    <col min="1285" max="1286" width="7.42578125" style="56" customWidth="1"/>
    <col min="1287" max="1287" width="9.28515625" style="56"/>
    <col min="1288" max="1288" width="8.28515625" style="56" customWidth="1"/>
    <col min="1289" max="1289" width="11.5703125" style="56" customWidth="1"/>
    <col min="1290" max="1290" width="9.7109375" style="56" customWidth="1"/>
    <col min="1291" max="1291" width="9.42578125" style="56" customWidth="1"/>
    <col min="1292" max="1292" width="10.42578125" style="56" customWidth="1"/>
    <col min="1293" max="1294" width="0" style="56" hidden="1" customWidth="1"/>
    <col min="1295" max="1295" width="14.42578125" style="56" customWidth="1"/>
    <col min="1296" max="1296" width="12.7109375" style="56" customWidth="1"/>
    <col min="1297" max="1297" width="11.5703125" style="56" bestFit="1" customWidth="1"/>
    <col min="1298" max="1298" width="9.28515625" style="56"/>
    <col min="1299" max="1299" width="10.28515625" style="56" bestFit="1" customWidth="1"/>
    <col min="1300" max="1536" width="9.28515625" style="56"/>
    <col min="1537" max="1537" width="5" style="56" bestFit="1" customWidth="1"/>
    <col min="1538" max="1538" width="19.5703125" style="56" customWidth="1"/>
    <col min="1539" max="1539" width="9.7109375" style="56" customWidth="1"/>
    <col min="1540" max="1540" width="11" style="56" customWidth="1"/>
    <col min="1541" max="1542" width="7.42578125" style="56" customWidth="1"/>
    <col min="1543" max="1543" width="9.28515625" style="56"/>
    <col min="1544" max="1544" width="8.28515625" style="56" customWidth="1"/>
    <col min="1545" max="1545" width="11.5703125" style="56" customWidth="1"/>
    <col min="1546" max="1546" width="9.7109375" style="56" customWidth="1"/>
    <col min="1547" max="1547" width="9.42578125" style="56" customWidth="1"/>
    <col min="1548" max="1548" width="10.42578125" style="56" customWidth="1"/>
    <col min="1549" max="1550" width="0" style="56" hidden="1" customWidth="1"/>
    <col min="1551" max="1551" width="14.42578125" style="56" customWidth="1"/>
    <col min="1552" max="1552" width="12.7109375" style="56" customWidth="1"/>
    <col min="1553" max="1553" width="11.5703125" style="56" bestFit="1" customWidth="1"/>
    <col min="1554" max="1554" width="9.28515625" style="56"/>
    <col min="1555" max="1555" width="10.28515625" style="56" bestFit="1" customWidth="1"/>
    <col min="1556" max="1792" width="9.28515625" style="56"/>
    <col min="1793" max="1793" width="5" style="56" bestFit="1" customWidth="1"/>
    <col min="1794" max="1794" width="19.5703125" style="56" customWidth="1"/>
    <col min="1795" max="1795" width="9.7109375" style="56" customWidth="1"/>
    <col min="1796" max="1796" width="11" style="56" customWidth="1"/>
    <col min="1797" max="1798" width="7.42578125" style="56" customWidth="1"/>
    <col min="1799" max="1799" width="9.28515625" style="56"/>
    <col min="1800" max="1800" width="8.28515625" style="56" customWidth="1"/>
    <col min="1801" max="1801" width="11.5703125" style="56" customWidth="1"/>
    <col min="1802" max="1802" width="9.7109375" style="56" customWidth="1"/>
    <col min="1803" max="1803" width="9.42578125" style="56" customWidth="1"/>
    <col min="1804" max="1804" width="10.42578125" style="56" customWidth="1"/>
    <col min="1805" max="1806" width="0" style="56" hidden="1" customWidth="1"/>
    <col min="1807" max="1807" width="14.42578125" style="56" customWidth="1"/>
    <col min="1808" max="1808" width="12.7109375" style="56" customWidth="1"/>
    <col min="1809" max="1809" width="11.5703125" style="56" bestFit="1" customWidth="1"/>
    <col min="1810" max="1810" width="9.28515625" style="56"/>
    <col min="1811" max="1811" width="10.28515625" style="56" bestFit="1" customWidth="1"/>
    <col min="1812" max="2048" width="9.28515625" style="56"/>
    <col min="2049" max="2049" width="5" style="56" bestFit="1" customWidth="1"/>
    <col min="2050" max="2050" width="19.5703125" style="56" customWidth="1"/>
    <col min="2051" max="2051" width="9.7109375" style="56" customWidth="1"/>
    <col min="2052" max="2052" width="11" style="56" customWidth="1"/>
    <col min="2053" max="2054" width="7.42578125" style="56" customWidth="1"/>
    <col min="2055" max="2055" width="9.28515625" style="56"/>
    <col min="2056" max="2056" width="8.28515625" style="56" customWidth="1"/>
    <col min="2057" max="2057" width="11.5703125" style="56" customWidth="1"/>
    <col min="2058" max="2058" width="9.7109375" style="56" customWidth="1"/>
    <col min="2059" max="2059" width="9.42578125" style="56" customWidth="1"/>
    <col min="2060" max="2060" width="10.42578125" style="56" customWidth="1"/>
    <col min="2061" max="2062" width="0" style="56" hidden="1" customWidth="1"/>
    <col min="2063" max="2063" width="14.42578125" style="56" customWidth="1"/>
    <col min="2064" max="2064" width="12.7109375" style="56" customWidth="1"/>
    <col min="2065" max="2065" width="11.5703125" style="56" bestFit="1" customWidth="1"/>
    <col min="2066" max="2066" width="9.28515625" style="56"/>
    <col min="2067" max="2067" width="10.28515625" style="56" bestFit="1" customWidth="1"/>
    <col min="2068" max="2304" width="9.28515625" style="56"/>
    <col min="2305" max="2305" width="5" style="56" bestFit="1" customWidth="1"/>
    <col min="2306" max="2306" width="19.5703125" style="56" customWidth="1"/>
    <col min="2307" max="2307" width="9.7109375" style="56" customWidth="1"/>
    <col min="2308" max="2308" width="11" style="56" customWidth="1"/>
    <col min="2309" max="2310" width="7.42578125" style="56" customWidth="1"/>
    <col min="2311" max="2311" width="9.28515625" style="56"/>
    <col min="2312" max="2312" width="8.28515625" style="56" customWidth="1"/>
    <col min="2313" max="2313" width="11.5703125" style="56" customWidth="1"/>
    <col min="2314" max="2314" width="9.7109375" style="56" customWidth="1"/>
    <col min="2315" max="2315" width="9.42578125" style="56" customWidth="1"/>
    <col min="2316" max="2316" width="10.42578125" style="56" customWidth="1"/>
    <col min="2317" max="2318" width="0" style="56" hidden="1" customWidth="1"/>
    <col min="2319" max="2319" width="14.42578125" style="56" customWidth="1"/>
    <col min="2320" max="2320" width="12.7109375" style="56" customWidth="1"/>
    <col min="2321" max="2321" width="11.5703125" style="56" bestFit="1" customWidth="1"/>
    <col min="2322" max="2322" width="9.28515625" style="56"/>
    <col min="2323" max="2323" width="10.28515625" style="56" bestFit="1" customWidth="1"/>
    <col min="2324" max="2560" width="9.28515625" style="56"/>
    <col min="2561" max="2561" width="5" style="56" bestFit="1" customWidth="1"/>
    <col min="2562" max="2562" width="19.5703125" style="56" customWidth="1"/>
    <col min="2563" max="2563" width="9.7109375" style="56" customWidth="1"/>
    <col min="2564" max="2564" width="11" style="56" customWidth="1"/>
    <col min="2565" max="2566" width="7.42578125" style="56" customWidth="1"/>
    <col min="2567" max="2567" width="9.28515625" style="56"/>
    <col min="2568" max="2568" width="8.28515625" style="56" customWidth="1"/>
    <col min="2569" max="2569" width="11.5703125" style="56" customWidth="1"/>
    <col min="2570" max="2570" width="9.7109375" style="56" customWidth="1"/>
    <col min="2571" max="2571" width="9.42578125" style="56" customWidth="1"/>
    <col min="2572" max="2572" width="10.42578125" style="56" customWidth="1"/>
    <col min="2573" max="2574" width="0" style="56" hidden="1" customWidth="1"/>
    <col min="2575" max="2575" width="14.42578125" style="56" customWidth="1"/>
    <col min="2576" max="2576" width="12.7109375" style="56" customWidth="1"/>
    <col min="2577" max="2577" width="11.5703125" style="56" bestFit="1" customWidth="1"/>
    <col min="2578" max="2578" width="9.28515625" style="56"/>
    <col min="2579" max="2579" width="10.28515625" style="56" bestFit="1" customWidth="1"/>
    <col min="2580" max="2816" width="9.28515625" style="56"/>
    <col min="2817" max="2817" width="5" style="56" bestFit="1" customWidth="1"/>
    <col min="2818" max="2818" width="19.5703125" style="56" customWidth="1"/>
    <col min="2819" max="2819" width="9.7109375" style="56" customWidth="1"/>
    <col min="2820" max="2820" width="11" style="56" customWidth="1"/>
    <col min="2821" max="2822" width="7.42578125" style="56" customWidth="1"/>
    <col min="2823" max="2823" width="9.28515625" style="56"/>
    <col min="2824" max="2824" width="8.28515625" style="56" customWidth="1"/>
    <col min="2825" max="2825" width="11.5703125" style="56" customWidth="1"/>
    <col min="2826" max="2826" width="9.7109375" style="56" customWidth="1"/>
    <col min="2827" max="2827" width="9.42578125" style="56" customWidth="1"/>
    <col min="2828" max="2828" width="10.42578125" style="56" customWidth="1"/>
    <col min="2829" max="2830" width="0" style="56" hidden="1" customWidth="1"/>
    <col min="2831" max="2831" width="14.42578125" style="56" customWidth="1"/>
    <col min="2832" max="2832" width="12.7109375" style="56" customWidth="1"/>
    <col min="2833" max="2833" width="11.5703125" style="56" bestFit="1" customWidth="1"/>
    <col min="2834" max="2834" width="9.28515625" style="56"/>
    <col min="2835" max="2835" width="10.28515625" style="56" bestFit="1" customWidth="1"/>
    <col min="2836" max="3072" width="9.28515625" style="56"/>
    <col min="3073" max="3073" width="5" style="56" bestFit="1" customWidth="1"/>
    <col min="3074" max="3074" width="19.5703125" style="56" customWidth="1"/>
    <col min="3075" max="3075" width="9.7109375" style="56" customWidth="1"/>
    <col min="3076" max="3076" width="11" style="56" customWidth="1"/>
    <col min="3077" max="3078" width="7.42578125" style="56" customWidth="1"/>
    <col min="3079" max="3079" width="9.28515625" style="56"/>
    <col min="3080" max="3080" width="8.28515625" style="56" customWidth="1"/>
    <col min="3081" max="3081" width="11.5703125" style="56" customWidth="1"/>
    <col min="3082" max="3082" width="9.7109375" style="56" customWidth="1"/>
    <col min="3083" max="3083" width="9.42578125" style="56" customWidth="1"/>
    <col min="3084" max="3084" width="10.42578125" style="56" customWidth="1"/>
    <col min="3085" max="3086" width="0" style="56" hidden="1" customWidth="1"/>
    <col min="3087" max="3087" width="14.42578125" style="56" customWidth="1"/>
    <col min="3088" max="3088" width="12.7109375" style="56" customWidth="1"/>
    <col min="3089" max="3089" width="11.5703125" style="56" bestFit="1" customWidth="1"/>
    <col min="3090" max="3090" width="9.28515625" style="56"/>
    <col min="3091" max="3091" width="10.28515625" style="56" bestFit="1" customWidth="1"/>
    <col min="3092" max="3328" width="9.28515625" style="56"/>
    <col min="3329" max="3329" width="5" style="56" bestFit="1" customWidth="1"/>
    <col min="3330" max="3330" width="19.5703125" style="56" customWidth="1"/>
    <col min="3331" max="3331" width="9.7109375" style="56" customWidth="1"/>
    <col min="3332" max="3332" width="11" style="56" customWidth="1"/>
    <col min="3333" max="3334" width="7.42578125" style="56" customWidth="1"/>
    <col min="3335" max="3335" width="9.28515625" style="56"/>
    <col min="3336" max="3336" width="8.28515625" style="56" customWidth="1"/>
    <col min="3337" max="3337" width="11.5703125" style="56" customWidth="1"/>
    <col min="3338" max="3338" width="9.7109375" style="56" customWidth="1"/>
    <col min="3339" max="3339" width="9.42578125" style="56" customWidth="1"/>
    <col min="3340" max="3340" width="10.42578125" style="56" customWidth="1"/>
    <col min="3341" max="3342" width="0" style="56" hidden="1" customWidth="1"/>
    <col min="3343" max="3343" width="14.42578125" style="56" customWidth="1"/>
    <col min="3344" max="3344" width="12.7109375" style="56" customWidth="1"/>
    <col min="3345" max="3345" width="11.5703125" style="56" bestFit="1" customWidth="1"/>
    <col min="3346" max="3346" width="9.28515625" style="56"/>
    <col min="3347" max="3347" width="10.28515625" style="56" bestFit="1" customWidth="1"/>
    <col min="3348" max="3584" width="9.28515625" style="56"/>
    <col min="3585" max="3585" width="5" style="56" bestFit="1" customWidth="1"/>
    <col min="3586" max="3586" width="19.5703125" style="56" customWidth="1"/>
    <col min="3587" max="3587" width="9.7109375" style="56" customWidth="1"/>
    <col min="3588" max="3588" width="11" style="56" customWidth="1"/>
    <col min="3589" max="3590" width="7.42578125" style="56" customWidth="1"/>
    <col min="3591" max="3591" width="9.28515625" style="56"/>
    <col min="3592" max="3592" width="8.28515625" style="56" customWidth="1"/>
    <col min="3593" max="3593" width="11.5703125" style="56" customWidth="1"/>
    <col min="3594" max="3594" width="9.7109375" style="56" customWidth="1"/>
    <col min="3595" max="3595" width="9.42578125" style="56" customWidth="1"/>
    <col min="3596" max="3596" width="10.42578125" style="56" customWidth="1"/>
    <col min="3597" max="3598" width="0" style="56" hidden="1" customWidth="1"/>
    <col min="3599" max="3599" width="14.42578125" style="56" customWidth="1"/>
    <col min="3600" max="3600" width="12.7109375" style="56" customWidth="1"/>
    <col min="3601" max="3601" width="11.5703125" style="56" bestFit="1" customWidth="1"/>
    <col min="3602" max="3602" width="9.28515625" style="56"/>
    <col min="3603" max="3603" width="10.28515625" style="56" bestFit="1" customWidth="1"/>
    <col min="3604" max="3840" width="9.28515625" style="56"/>
    <col min="3841" max="3841" width="5" style="56" bestFit="1" customWidth="1"/>
    <col min="3842" max="3842" width="19.5703125" style="56" customWidth="1"/>
    <col min="3843" max="3843" width="9.7109375" style="56" customWidth="1"/>
    <col min="3844" max="3844" width="11" style="56" customWidth="1"/>
    <col min="3845" max="3846" width="7.42578125" style="56" customWidth="1"/>
    <col min="3847" max="3847" width="9.28515625" style="56"/>
    <col min="3848" max="3848" width="8.28515625" style="56" customWidth="1"/>
    <col min="3849" max="3849" width="11.5703125" style="56" customWidth="1"/>
    <col min="3850" max="3850" width="9.7109375" style="56" customWidth="1"/>
    <col min="3851" max="3851" width="9.42578125" style="56" customWidth="1"/>
    <col min="3852" max="3852" width="10.42578125" style="56" customWidth="1"/>
    <col min="3853" max="3854" width="0" style="56" hidden="1" customWidth="1"/>
    <col min="3855" max="3855" width="14.42578125" style="56" customWidth="1"/>
    <col min="3856" max="3856" width="12.7109375" style="56" customWidth="1"/>
    <col min="3857" max="3857" width="11.5703125" style="56" bestFit="1" customWidth="1"/>
    <col min="3858" max="3858" width="9.28515625" style="56"/>
    <col min="3859" max="3859" width="10.28515625" style="56" bestFit="1" customWidth="1"/>
    <col min="3860" max="4096" width="9.28515625" style="56"/>
    <col min="4097" max="4097" width="5" style="56" bestFit="1" customWidth="1"/>
    <col min="4098" max="4098" width="19.5703125" style="56" customWidth="1"/>
    <col min="4099" max="4099" width="9.7109375" style="56" customWidth="1"/>
    <col min="4100" max="4100" width="11" style="56" customWidth="1"/>
    <col min="4101" max="4102" width="7.42578125" style="56" customWidth="1"/>
    <col min="4103" max="4103" width="9.28515625" style="56"/>
    <col min="4104" max="4104" width="8.28515625" style="56" customWidth="1"/>
    <col min="4105" max="4105" width="11.5703125" style="56" customWidth="1"/>
    <col min="4106" max="4106" width="9.7109375" style="56" customWidth="1"/>
    <col min="4107" max="4107" width="9.42578125" style="56" customWidth="1"/>
    <col min="4108" max="4108" width="10.42578125" style="56" customWidth="1"/>
    <col min="4109" max="4110" width="0" style="56" hidden="1" customWidth="1"/>
    <col min="4111" max="4111" width="14.42578125" style="56" customWidth="1"/>
    <col min="4112" max="4112" width="12.7109375" style="56" customWidth="1"/>
    <col min="4113" max="4113" width="11.5703125" style="56" bestFit="1" customWidth="1"/>
    <col min="4114" max="4114" width="9.28515625" style="56"/>
    <col min="4115" max="4115" width="10.28515625" style="56" bestFit="1" customWidth="1"/>
    <col min="4116" max="4352" width="9.28515625" style="56"/>
    <col min="4353" max="4353" width="5" style="56" bestFit="1" customWidth="1"/>
    <col min="4354" max="4354" width="19.5703125" style="56" customWidth="1"/>
    <col min="4355" max="4355" width="9.7109375" style="56" customWidth="1"/>
    <col min="4356" max="4356" width="11" style="56" customWidth="1"/>
    <col min="4357" max="4358" width="7.42578125" style="56" customWidth="1"/>
    <col min="4359" max="4359" width="9.28515625" style="56"/>
    <col min="4360" max="4360" width="8.28515625" style="56" customWidth="1"/>
    <col min="4361" max="4361" width="11.5703125" style="56" customWidth="1"/>
    <col min="4362" max="4362" width="9.7109375" style="56" customWidth="1"/>
    <col min="4363" max="4363" width="9.42578125" style="56" customWidth="1"/>
    <col min="4364" max="4364" width="10.42578125" style="56" customWidth="1"/>
    <col min="4365" max="4366" width="0" style="56" hidden="1" customWidth="1"/>
    <col min="4367" max="4367" width="14.42578125" style="56" customWidth="1"/>
    <col min="4368" max="4368" width="12.7109375" style="56" customWidth="1"/>
    <col min="4369" max="4369" width="11.5703125" style="56" bestFit="1" customWidth="1"/>
    <col min="4370" max="4370" width="9.28515625" style="56"/>
    <col min="4371" max="4371" width="10.28515625" style="56" bestFit="1" customWidth="1"/>
    <col min="4372" max="4608" width="9.28515625" style="56"/>
    <col min="4609" max="4609" width="5" style="56" bestFit="1" customWidth="1"/>
    <col min="4610" max="4610" width="19.5703125" style="56" customWidth="1"/>
    <col min="4611" max="4611" width="9.7109375" style="56" customWidth="1"/>
    <col min="4612" max="4612" width="11" style="56" customWidth="1"/>
    <col min="4613" max="4614" width="7.42578125" style="56" customWidth="1"/>
    <col min="4615" max="4615" width="9.28515625" style="56"/>
    <col min="4616" max="4616" width="8.28515625" style="56" customWidth="1"/>
    <col min="4617" max="4617" width="11.5703125" style="56" customWidth="1"/>
    <col min="4618" max="4618" width="9.7109375" style="56" customWidth="1"/>
    <col min="4619" max="4619" width="9.42578125" style="56" customWidth="1"/>
    <col min="4620" max="4620" width="10.42578125" style="56" customWidth="1"/>
    <col min="4621" max="4622" width="0" style="56" hidden="1" customWidth="1"/>
    <col min="4623" max="4623" width="14.42578125" style="56" customWidth="1"/>
    <col min="4624" max="4624" width="12.7109375" style="56" customWidth="1"/>
    <col min="4625" max="4625" width="11.5703125" style="56" bestFit="1" customWidth="1"/>
    <col min="4626" max="4626" width="9.28515625" style="56"/>
    <col min="4627" max="4627" width="10.28515625" style="56" bestFit="1" customWidth="1"/>
    <col min="4628" max="4864" width="9.28515625" style="56"/>
    <col min="4865" max="4865" width="5" style="56" bestFit="1" customWidth="1"/>
    <col min="4866" max="4866" width="19.5703125" style="56" customWidth="1"/>
    <col min="4867" max="4867" width="9.7109375" style="56" customWidth="1"/>
    <col min="4868" max="4868" width="11" style="56" customWidth="1"/>
    <col min="4869" max="4870" width="7.42578125" style="56" customWidth="1"/>
    <col min="4871" max="4871" width="9.28515625" style="56"/>
    <col min="4872" max="4872" width="8.28515625" style="56" customWidth="1"/>
    <col min="4873" max="4873" width="11.5703125" style="56" customWidth="1"/>
    <col min="4874" max="4874" width="9.7109375" style="56" customWidth="1"/>
    <col min="4875" max="4875" width="9.42578125" style="56" customWidth="1"/>
    <col min="4876" max="4876" width="10.42578125" style="56" customWidth="1"/>
    <col min="4877" max="4878" width="0" style="56" hidden="1" customWidth="1"/>
    <col min="4879" max="4879" width="14.42578125" style="56" customWidth="1"/>
    <col min="4880" max="4880" width="12.7109375" style="56" customWidth="1"/>
    <col min="4881" max="4881" width="11.5703125" style="56" bestFit="1" customWidth="1"/>
    <col min="4882" max="4882" width="9.28515625" style="56"/>
    <col min="4883" max="4883" width="10.28515625" style="56" bestFit="1" customWidth="1"/>
    <col min="4884" max="5120" width="9.28515625" style="56"/>
    <col min="5121" max="5121" width="5" style="56" bestFit="1" customWidth="1"/>
    <col min="5122" max="5122" width="19.5703125" style="56" customWidth="1"/>
    <col min="5123" max="5123" width="9.7109375" style="56" customWidth="1"/>
    <col min="5124" max="5124" width="11" style="56" customWidth="1"/>
    <col min="5125" max="5126" width="7.42578125" style="56" customWidth="1"/>
    <col min="5127" max="5127" width="9.28515625" style="56"/>
    <col min="5128" max="5128" width="8.28515625" style="56" customWidth="1"/>
    <col min="5129" max="5129" width="11.5703125" style="56" customWidth="1"/>
    <col min="5130" max="5130" width="9.7109375" style="56" customWidth="1"/>
    <col min="5131" max="5131" width="9.42578125" style="56" customWidth="1"/>
    <col min="5132" max="5132" width="10.42578125" style="56" customWidth="1"/>
    <col min="5133" max="5134" width="0" style="56" hidden="1" customWidth="1"/>
    <col min="5135" max="5135" width="14.42578125" style="56" customWidth="1"/>
    <col min="5136" max="5136" width="12.7109375" style="56" customWidth="1"/>
    <col min="5137" max="5137" width="11.5703125" style="56" bestFit="1" customWidth="1"/>
    <col min="5138" max="5138" width="9.28515625" style="56"/>
    <col min="5139" max="5139" width="10.28515625" style="56" bestFit="1" customWidth="1"/>
    <col min="5140" max="5376" width="9.28515625" style="56"/>
    <col min="5377" max="5377" width="5" style="56" bestFit="1" customWidth="1"/>
    <col min="5378" max="5378" width="19.5703125" style="56" customWidth="1"/>
    <col min="5379" max="5379" width="9.7109375" style="56" customWidth="1"/>
    <col min="5380" max="5380" width="11" style="56" customWidth="1"/>
    <col min="5381" max="5382" width="7.42578125" style="56" customWidth="1"/>
    <col min="5383" max="5383" width="9.28515625" style="56"/>
    <col min="5384" max="5384" width="8.28515625" style="56" customWidth="1"/>
    <col min="5385" max="5385" width="11.5703125" style="56" customWidth="1"/>
    <col min="5386" max="5386" width="9.7109375" style="56" customWidth="1"/>
    <col min="5387" max="5387" width="9.42578125" style="56" customWidth="1"/>
    <col min="5388" max="5388" width="10.42578125" style="56" customWidth="1"/>
    <col min="5389" max="5390" width="0" style="56" hidden="1" customWidth="1"/>
    <col min="5391" max="5391" width="14.42578125" style="56" customWidth="1"/>
    <col min="5392" max="5392" width="12.7109375" style="56" customWidth="1"/>
    <col min="5393" max="5393" width="11.5703125" style="56" bestFit="1" customWidth="1"/>
    <col min="5394" max="5394" width="9.28515625" style="56"/>
    <col min="5395" max="5395" width="10.28515625" style="56" bestFit="1" customWidth="1"/>
    <col min="5396" max="5632" width="9.28515625" style="56"/>
    <col min="5633" max="5633" width="5" style="56" bestFit="1" customWidth="1"/>
    <col min="5634" max="5634" width="19.5703125" style="56" customWidth="1"/>
    <col min="5635" max="5635" width="9.7109375" style="56" customWidth="1"/>
    <col min="5636" max="5636" width="11" style="56" customWidth="1"/>
    <col min="5637" max="5638" width="7.42578125" style="56" customWidth="1"/>
    <col min="5639" max="5639" width="9.28515625" style="56"/>
    <col min="5640" max="5640" width="8.28515625" style="56" customWidth="1"/>
    <col min="5641" max="5641" width="11.5703125" style="56" customWidth="1"/>
    <col min="5642" max="5642" width="9.7109375" style="56" customWidth="1"/>
    <col min="5643" max="5643" width="9.42578125" style="56" customWidth="1"/>
    <col min="5644" max="5644" width="10.42578125" style="56" customWidth="1"/>
    <col min="5645" max="5646" width="0" style="56" hidden="1" customWidth="1"/>
    <col min="5647" max="5647" width="14.42578125" style="56" customWidth="1"/>
    <col min="5648" max="5648" width="12.7109375" style="56" customWidth="1"/>
    <col min="5649" max="5649" width="11.5703125" style="56" bestFit="1" customWidth="1"/>
    <col min="5650" max="5650" width="9.28515625" style="56"/>
    <col min="5651" max="5651" width="10.28515625" style="56" bestFit="1" customWidth="1"/>
    <col min="5652" max="5888" width="9.28515625" style="56"/>
    <col min="5889" max="5889" width="5" style="56" bestFit="1" customWidth="1"/>
    <col min="5890" max="5890" width="19.5703125" style="56" customWidth="1"/>
    <col min="5891" max="5891" width="9.7109375" style="56" customWidth="1"/>
    <col min="5892" max="5892" width="11" style="56" customWidth="1"/>
    <col min="5893" max="5894" width="7.42578125" style="56" customWidth="1"/>
    <col min="5895" max="5895" width="9.28515625" style="56"/>
    <col min="5896" max="5896" width="8.28515625" style="56" customWidth="1"/>
    <col min="5897" max="5897" width="11.5703125" style="56" customWidth="1"/>
    <col min="5898" max="5898" width="9.7109375" style="56" customWidth="1"/>
    <col min="5899" max="5899" width="9.42578125" style="56" customWidth="1"/>
    <col min="5900" max="5900" width="10.42578125" style="56" customWidth="1"/>
    <col min="5901" max="5902" width="0" style="56" hidden="1" customWidth="1"/>
    <col min="5903" max="5903" width="14.42578125" style="56" customWidth="1"/>
    <col min="5904" max="5904" width="12.7109375" style="56" customWidth="1"/>
    <col min="5905" max="5905" width="11.5703125" style="56" bestFit="1" customWidth="1"/>
    <col min="5906" max="5906" width="9.28515625" style="56"/>
    <col min="5907" max="5907" width="10.28515625" style="56" bestFit="1" customWidth="1"/>
    <col min="5908" max="6144" width="9.28515625" style="56"/>
    <col min="6145" max="6145" width="5" style="56" bestFit="1" customWidth="1"/>
    <col min="6146" max="6146" width="19.5703125" style="56" customWidth="1"/>
    <col min="6147" max="6147" width="9.7109375" style="56" customWidth="1"/>
    <col min="6148" max="6148" width="11" style="56" customWidth="1"/>
    <col min="6149" max="6150" width="7.42578125" style="56" customWidth="1"/>
    <col min="6151" max="6151" width="9.28515625" style="56"/>
    <col min="6152" max="6152" width="8.28515625" style="56" customWidth="1"/>
    <col min="6153" max="6153" width="11.5703125" style="56" customWidth="1"/>
    <col min="6154" max="6154" width="9.7109375" style="56" customWidth="1"/>
    <col min="6155" max="6155" width="9.42578125" style="56" customWidth="1"/>
    <col min="6156" max="6156" width="10.42578125" style="56" customWidth="1"/>
    <col min="6157" max="6158" width="0" style="56" hidden="1" customWidth="1"/>
    <col min="6159" max="6159" width="14.42578125" style="56" customWidth="1"/>
    <col min="6160" max="6160" width="12.7109375" style="56" customWidth="1"/>
    <col min="6161" max="6161" width="11.5703125" style="56" bestFit="1" customWidth="1"/>
    <col min="6162" max="6162" width="9.28515625" style="56"/>
    <col min="6163" max="6163" width="10.28515625" style="56" bestFit="1" customWidth="1"/>
    <col min="6164" max="6400" width="9.28515625" style="56"/>
    <col min="6401" max="6401" width="5" style="56" bestFit="1" customWidth="1"/>
    <col min="6402" max="6402" width="19.5703125" style="56" customWidth="1"/>
    <col min="6403" max="6403" width="9.7109375" style="56" customWidth="1"/>
    <col min="6404" max="6404" width="11" style="56" customWidth="1"/>
    <col min="6405" max="6406" width="7.42578125" style="56" customWidth="1"/>
    <col min="6407" max="6407" width="9.28515625" style="56"/>
    <col min="6408" max="6408" width="8.28515625" style="56" customWidth="1"/>
    <col min="6409" max="6409" width="11.5703125" style="56" customWidth="1"/>
    <col min="6410" max="6410" width="9.7109375" style="56" customWidth="1"/>
    <col min="6411" max="6411" width="9.42578125" style="56" customWidth="1"/>
    <col min="6412" max="6412" width="10.42578125" style="56" customWidth="1"/>
    <col min="6413" max="6414" width="0" style="56" hidden="1" customWidth="1"/>
    <col min="6415" max="6415" width="14.42578125" style="56" customWidth="1"/>
    <col min="6416" max="6416" width="12.7109375" style="56" customWidth="1"/>
    <col min="6417" max="6417" width="11.5703125" style="56" bestFit="1" customWidth="1"/>
    <col min="6418" max="6418" width="9.28515625" style="56"/>
    <col min="6419" max="6419" width="10.28515625" style="56" bestFit="1" customWidth="1"/>
    <col min="6420" max="6656" width="9.28515625" style="56"/>
    <col min="6657" max="6657" width="5" style="56" bestFit="1" customWidth="1"/>
    <col min="6658" max="6658" width="19.5703125" style="56" customWidth="1"/>
    <col min="6659" max="6659" width="9.7109375" style="56" customWidth="1"/>
    <col min="6660" max="6660" width="11" style="56" customWidth="1"/>
    <col min="6661" max="6662" width="7.42578125" style="56" customWidth="1"/>
    <col min="6663" max="6663" width="9.28515625" style="56"/>
    <col min="6664" max="6664" width="8.28515625" style="56" customWidth="1"/>
    <col min="6665" max="6665" width="11.5703125" style="56" customWidth="1"/>
    <col min="6666" max="6666" width="9.7109375" style="56" customWidth="1"/>
    <col min="6667" max="6667" width="9.42578125" style="56" customWidth="1"/>
    <col min="6668" max="6668" width="10.42578125" style="56" customWidth="1"/>
    <col min="6669" max="6670" width="0" style="56" hidden="1" customWidth="1"/>
    <col min="6671" max="6671" width="14.42578125" style="56" customWidth="1"/>
    <col min="6672" max="6672" width="12.7109375" style="56" customWidth="1"/>
    <col min="6673" max="6673" width="11.5703125" style="56" bestFit="1" customWidth="1"/>
    <col min="6674" max="6674" width="9.28515625" style="56"/>
    <col min="6675" max="6675" width="10.28515625" style="56" bestFit="1" customWidth="1"/>
    <col min="6676" max="6912" width="9.28515625" style="56"/>
    <col min="6913" max="6913" width="5" style="56" bestFit="1" customWidth="1"/>
    <col min="6914" max="6914" width="19.5703125" style="56" customWidth="1"/>
    <col min="6915" max="6915" width="9.7109375" style="56" customWidth="1"/>
    <col min="6916" max="6916" width="11" style="56" customWidth="1"/>
    <col min="6917" max="6918" width="7.42578125" style="56" customWidth="1"/>
    <col min="6919" max="6919" width="9.28515625" style="56"/>
    <col min="6920" max="6920" width="8.28515625" style="56" customWidth="1"/>
    <col min="6921" max="6921" width="11.5703125" style="56" customWidth="1"/>
    <col min="6922" max="6922" width="9.7109375" style="56" customWidth="1"/>
    <col min="6923" max="6923" width="9.42578125" style="56" customWidth="1"/>
    <col min="6924" max="6924" width="10.42578125" style="56" customWidth="1"/>
    <col min="6925" max="6926" width="0" style="56" hidden="1" customWidth="1"/>
    <col min="6927" max="6927" width="14.42578125" style="56" customWidth="1"/>
    <col min="6928" max="6928" width="12.7109375" style="56" customWidth="1"/>
    <col min="6929" max="6929" width="11.5703125" style="56" bestFit="1" customWidth="1"/>
    <col min="6930" max="6930" width="9.28515625" style="56"/>
    <col min="6931" max="6931" width="10.28515625" style="56" bestFit="1" customWidth="1"/>
    <col min="6932" max="7168" width="9.28515625" style="56"/>
    <col min="7169" max="7169" width="5" style="56" bestFit="1" customWidth="1"/>
    <col min="7170" max="7170" width="19.5703125" style="56" customWidth="1"/>
    <col min="7171" max="7171" width="9.7109375" style="56" customWidth="1"/>
    <col min="7172" max="7172" width="11" style="56" customWidth="1"/>
    <col min="7173" max="7174" width="7.42578125" style="56" customWidth="1"/>
    <col min="7175" max="7175" width="9.28515625" style="56"/>
    <col min="7176" max="7176" width="8.28515625" style="56" customWidth="1"/>
    <col min="7177" max="7177" width="11.5703125" style="56" customWidth="1"/>
    <col min="7178" max="7178" width="9.7109375" style="56" customWidth="1"/>
    <col min="7179" max="7179" width="9.42578125" style="56" customWidth="1"/>
    <col min="7180" max="7180" width="10.42578125" style="56" customWidth="1"/>
    <col min="7181" max="7182" width="0" style="56" hidden="1" customWidth="1"/>
    <col min="7183" max="7183" width="14.42578125" style="56" customWidth="1"/>
    <col min="7184" max="7184" width="12.7109375" style="56" customWidth="1"/>
    <col min="7185" max="7185" width="11.5703125" style="56" bestFit="1" customWidth="1"/>
    <col min="7186" max="7186" width="9.28515625" style="56"/>
    <col min="7187" max="7187" width="10.28515625" style="56" bestFit="1" customWidth="1"/>
    <col min="7188" max="7424" width="9.28515625" style="56"/>
    <col min="7425" max="7425" width="5" style="56" bestFit="1" customWidth="1"/>
    <col min="7426" max="7426" width="19.5703125" style="56" customWidth="1"/>
    <col min="7427" max="7427" width="9.7109375" style="56" customWidth="1"/>
    <col min="7428" max="7428" width="11" style="56" customWidth="1"/>
    <col min="7429" max="7430" width="7.42578125" style="56" customWidth="1"/>
    <col min="7431" max="7431" width="9.28515625" style="56"/>
    <col min="7432" max="7432" width="8.28515625" style="56" customWidth="1"/>
    <col min="7433" max="7433" width="11.5703125" style="56" customWidth="1"/>
    <col min="7434" max="7434" width="9.7109375" style="56" customWidth="1"/>
    <col min="7435" max="7435" width="9.42578125" style="56" customWidth="1"/>
    <col min="7436" max="7436" width="10.42578125" style="56" customWidth="1"/>
    <col min="7437" max="7438" width="0" style="56" hidden="1" customWidth="1"/>
    <col min="7439" max="7439" width="14.42578125" style="56" customWidth="1"/>
    <col min="7440" max="7440" width="12.7109375" style="56" customWidth="1"/>
    <col min="7441" max="7441" width="11.5703125" style="56" bestFit="1" customWidth="1"/>
    <col min="7442" max="7442" width="9.28515625" style="56"/>
    <col min="7443" max="7443" width="10.28515625" style="56" bestFit="1" customWidth="1"/>
    <col min="7444" max="7680" width="9.28515625" style="56"/>
    <col min="7681" max="7681" width="5" style="56" bestFit="1" customWidth="1"/>
    <col min="7682" max="7682" width="19.5703125" style="56" customWidth="1"/>
    <col min="7683" max="7683" width="9.7109375" style="56" customWidth="1"/>
    <col min="7684" max="7684" width="11" style="56" customWidth="1"/>
    <col min="7685" max="7686" width="7.42578125" style="56" customWidth="1"/>
    <col min="7687" max="7687" width="9.28515625" style="56"/>
    <col min="7688" max="7688" width="8.28515625" style="56" customWidth="1"/>
    <col min="7689" max="7689" width="11.5703125" style="56" customWidth="1"/>
    <col min="7690" max="7690" width="9.7109375" style="56" customWidth="1"/>
    <col min="7691" max="7691" width="9.42578125" style="56" customWidth="1"/>
    <col min="7692" max="7692" width="10.42578125" style="56" customWidth="1"/>
    <col min="7693" max="7694" width="0" style="56" hidden="1" customWidth="1"/>
    <col min="7695" max="7695" width="14.42578125" style="56" customWidth="1"/>
    <col min="7696" max="7696" width="12.7109375" style="56" customWidth="1"/>
    <col min="7697" max="7697" width="11.5703125" style="56" bestFit="1" customWidth="1"/>
    <col min="7698" max="7698" width="9.28515625" style="56"/>
    <col min="7699" max="7699" width="10.28515625" style="56" bestFit="1" customWidth="1"/>
    <col min="7700" max="7936" width="9.28515625" style="56"/>
    <col min="7937" max="7937" width="5" style="56" bestFit="1" customWidth="1"/>
    <col min="7938" max="7938" width="19.5703125" style="56" customWidth="1"/>
    <col min="7939" max="7939" width="9.7109375" style="56" customWidth="1"/>
    <col min="7940" max="7940" width="11" style="56" customWidth="1"/>
    <col min="7941" max="7942" width="7.42578125" style="56" customWidth="1"/>
    <col min="7943" max="7943" width="9.28515625" style="56"/>
    <col min="7944" max="7944" width="8.28515625" style="56" customWidth="1"/>
    <col min="7945" max="7945" width="11.5703125" style="56" customWidth="1"/>
    <col min="7946" max="7946" width="9.7109375" style="56" customWidth="1"/>
    <col min="7947" max="7947" width="9.42578125" style="56" customWidth="1"/>
    <col min="7948" max="7948" width="10.42578125" style="56" customWidth="1"/>
    <col min="7949" max="7950" width="0" style="56" hidden="1" customWidth="1"/>
    <col min="7951" max="7951" width="14.42578125" style="56" customWidth="1"/>
    <col min="7952" max="7952" width="12.7109375" style="56" customWidth="1"/>
    <col min="7953" max="7953" width="11.5703125" style="56" bestFit="1" customWidth="1"/>
    <col min="7954" max="7954" width="9.28515625" style="56"/>
    <col min="7955" max="7955" width="10.28515625" style="56" bestFit="1" customWidth="1"/>
    <col min="7956" max="8192" width="9.28515625" style="56"/>
    <col min="8193" max="8193" width="5" style="56" bestFit="1" customWidth="1"/>
    <col min="8194" max="8194" width="19.5703125" style="56" customWidth="1"/>
    <col min="8195" max="8195" width="9.7109375" style="56" customWidth="1"/>
    <col min="8196" max="8196" width="11" style="56" customWidth="1"/>
    <col min="8197" max="8198" width="7.42578125" style="56" customWidth="1"/>
    <col min="8199" max="8199" width="9.28515625" style="56"/>
    <col min="8200" max="8200" width="8.28515625" style="56" customWidth="1"/>
    <col min="8201" max="8201" width="11.5703125" style="56" customWidth="1"/>
    <col min="8202" max="8202" width="9.7109375" style="56" customWidth="1"/>
    <col min="8203" max="8203" width="9.42578125" style="56" customWidth="1"/>
    <col min="8204" max="8204" width="10.42578125" style="56" customWidth="1"/>
    <col min="8205" max="8206" width="0" style="56" hidden="1" customWidth="1"/>
    <col min="8207" max="8207" width="14.42578125" style="56" customWidth="1"/>
    <col min="8208" max="8208" width="12.7109375" style="56" customWidth="1"/>
    <col min="8209" max="8209" width="11.5703125" style="56" bestFit="1" customWidth="1"/>
    <col min="8210" max="8210" width="9.28515625" style="56"/>
    <col min="8211" max="8211" width="10.28515625" style="56" bestFit="1" customWidth="1"/>
    <col min="8212" max="8448" width="9.28515625" style="56"/>
    <col min="8449" max="8449" width="5" style="56" bestFit="1" customWidth="1"/>
    <col min="8450" max="8450" width="19.5703125" style="56" customWidth="1"/>
    <col min="8451" max="8451" width="9.7109375" style="56" customWidth="1"/>
    <col min="8452" max="8452" width="11" style="56" customWidth="1"/>
    <col min="8453" max="8454" width="7.42578125" style="56" customWidth="1"/>
    <col min="8455" max="8455" width="9.28515625" style="56"/>
    <col min="8456" max="8456" width="8.28515625" style="56" customWidth="1"/>
    <col min="8457" max="8457" width="11.5703125" style="56" customWidth="1"/>
    <col min="8458" max="8458" width="9.7109375" style="56" customWidth="1"/>
    <col min="8459" max="8459" width="9.42578125" style="56" customWidth="1"/>
    <col min="8460" max="8460" width="10.42578125" style="56" customWidth="1"/>
    <col min="8461" max="8462" width="0" style="56" hidden="1" customWidth="1"/>
    <col min="8463" max="8463" width="14.42578125" style="56" customWidth="1"/>
    <col min="8464" max="8464" width="12.7109375" style="56" customWidth="1"/>
    <col min="8465" max="8465" width="11.5703125" style="56" bestFit="1" customWidth="1"/>
    <col min="8466" max="8466" width="9.28515625" style="56"/>
    <col min="8467" max="8467" width="10.28515625" style="56" bestFit="1" customWidth="1"/>
    <col min="8468" max="8704" width="9.28515625" style="56"/>
    <col min="8705" max="8705" width="5" style="56" bestFit="1" customWidth="1"/>
    <col min="8706" max="8706" width="19.5703125" style="56" customWidth="1"/>
    <col min="8707" max="8707" width="9.7109375" style="56" customWidth="1"/>
    <col min="8708" max="8708" width="11" style="56" customWidth="1"/>
    <col min="8709" max="8710" width="7.42578125" style="56" customWidth="1"/>
    <col min="8711" max="8711" width="9.28515625" style="56"/>
    <col min="8712" max="8712" width="8.28515625" style="56" customWidth="1"/>
    <col min="8713" max="8713" width="11.5703125" style="56" customWidth="1"/>
    <col min="8714" max="8714" width="9.7109375" style="56" customWidth="1"/>
    <col min="8715" max="8715" width="9.42578125" style="56" customWidth="1"/>
    <col min="8716" max="8716" width="10.42578125" style="56" customWidth="1"/>
    <col min="8717" max="8718" width="0" style="56" hidden="1" customWidth="1"/>
    <col min="8719" max="8719" width="14.42578125" style="56" customWidth="1"/>
    <col min="8720" max="8720" width="12.7109375" style="56" customWidth="1"/>
    <col min="8721" max="8721" width="11.5703125" style="56" bestFit="1" customWidth="1"/>
    <col min="8722" max="8722" width="9.28515625" style="56"/>
    <col min="8723" max="8723" width="10.28515625" style="56" bestFit="1" customWidth="1"/>
    <col min="8724" max="8960" width="9.28515625" style="56"/>
    <col min="8961" max="8961" width="5" style="56" bestFit="1" customWidth="1"/>
    <col min="8962" max="8962" width="19.5703125" style="56" customWidth="1"/>
    <col min="8963" max="8963" width="9.7109375" style="56" customWidth="1"/>
    <col min="8964" max="8964" width="11" style="56" customWidth="1"/>
    <col min="8965" max="8966" width="7.42578125" style="56" customWidth="1"/>
    <col min="8967" max="8967" width="9.28515625" style="56"/>
    <col min="8968" max="8968" width="8.28515625" style="56" customWidth="1"/>
    <col min="8969" max="8969" width="11.5703125" style="56" customWidth="1"/>
    <col min="8970" max="8970" width="9.7109375" style="56" customWidth="1"/>
    <col min="8971" max="8971" width="9.42578125" style="56" customWidth="1"/>
    <col min="8972" max="8972" width="10.42578125" style="56" customWidth="1"/>
    <col min="8973" max="8974" width="0" style="56" hidden="1" customWidth="1"/>
    <col min="8975" max="8975" width="14.42578125" style="56" customWidth="1"/>
    <col min="8976" max="8976" width="12.7109375" style="56" customWidth="1"/>
    <col min="8977" max="8977" width="11.5703125" style="56" bestFit="1" customWidth="1"/>
    <col min="8978" max="8978" width="9.28515625" style="56"/>
    <col min="8979" max="8979" width="10.28515625" style="56" bestFit="1" customWidth="1"/>
    <col min="8980" max="9216" width="9.28515625" style="56"/>
    <col min="9217" max="9217" width="5" style="56" bestFit="1" customWidth="1"/>
    <col min="9218" max="9218" width="19.5703125" style="56" customWidth="1"/>
    <col min="9219" max="9219" width="9.7109375" style="56" customWidth="1"/>
    <col min="9220" max="9220" width="11" style="56" customWidth="1"/>
    <col min="9221" max="9222" width="7.42578125" style="56" customWidth="1"/>
    <col min="9223" max="9223" width="9.28515625" style="56"/>
    <col min="9224" max="9224" width="8.28515625" style="56" customWidth="1"/>
    <col min="9225" max="9225" width="11.5703125" style="56" customWidth="1"/>
    <col min="9226" max="9226" width="9.7109375" style="56" customWidth="1"/>
    <col min="9227" max="9227" width="9.42578125" style="56" customWidth="1"/>
    <col min="9228" max="9228" width="10.42578125" style="56" customWidth="1"/>
    <col min="9229" max="9230" width="0" style="56" hidden="1" customWidth="1"/>
    <col min="9231" max="9231" width="14.42578125" style="56" customWidth="1"/>
    <col min="9232" max="9232" width="12.7109375" style="56" customWidth="1"/>
    <col min="9233" max="9233" width="11.5703125" style="56" bestFit="1" customWidth="1"/>
    <col min="9234" max="9234" width="9.28515625" style="56"/>
    <col min="9235" max="9235" width="10.28515625" style="56" bestFit="1" customWidth="1"/>
    <col min="9236" max="9472" width="9.28515625" style="56"/>
    <col min="9473" max="9473" width="5" style="56" bestFit="1" customWidth="1"/>
    <col min="9474" max="9474" width="19.5703125" style="56" customWidth="1"/>
    <col min="9475" max="9475" width="9.7109375" style="56" customWidth="1"/>
    <col min="9476" max="9476" width="11" style="56" customWidth="1"/>
    <col min="9477" max="9478" width="7.42578125" style="56" customWidth="1"/>
    <col min="9479" max="9479" width="9.28515625" style="56"/>
    <col min="9480" max="9480" width="8.28515625" style="56" customWidth="1"/>
    <col min="9481" max="9481" width="11.5703125" style="56" customWidth="1"/>
    <col min="9482" max="9482" width="9.7109375" style="56" customWidth="1"/>
    <col min="9483" max="9483" width="9.42578125" style="56" customWidth="1"/>
    <col min="9484" max="9484" width="10.42578125" style="56" customWidth="1"/>
    <col min="9485" max="9486" width="0" style="56" hidden="1" customWidth="1"/>
    <col min="9487" max="9487" width="14.42578125" style="56" customWidth="1"/>
    <col min="9488" max="9488" width="12.7109375" style="56" customWidth="1"/>
    <col min="9489" max="9489" width="11.5703125" style="56" bestFit="1" customWidth="1"/>
    <col min="9490" max="9490" width="9.28515625" style="56"/>
    <col min="9491" max="9491" width="10.28515625" style="56" bestFit="1" customWidth="1"/>
    <col min="9492" max="9728" width="9.28515625" style="56"/>
    <col min="9729" max="9729" width="5" style="56" bestFit="1" customWidth="1"/>
    <col min="9730" max="9730" width="19.5703125" style="56" customWidth="1"/>
    <col min="9731" max="9731" width="9.7109375" style="56" customWidth="1"/>
    <col min="9732" max="9732" width="11" style="56" customWidth="1"/>
    <col min="9733" max="9734" width="7.42578125" style="56" customWidth="1"/>
    <col min="9735" max="9735" width="9.28515625" style="56"/>
    <col min="9736" max="9736" width="8.28515625" style="56" customWidth="1"/>
    <col min="9737" max="9737" width="11.5703125" style="56" customWidth="1"/>
    <col min="9738" max="9738" width="9.7109375" style="56" customWidth="1"/>
    <col min="9739" max="9739" width="9.42578125" style="56" customWidth="1"/>
    <col min="9740" max="9740" width="10.42578125" style="56" customWidth="1"/>
    <col min="9741" max="9742" width="0" style="56" hidden="1" customWidth="1"/>
    <col min="9743" max="9743" width="14.42578125" style="56" customWidth="1"/>
    <col min="9744" max="9744" width="12.7109375" style="56" customWidth="1"/>
    <col min="9745" max="9745" width="11.5703125" style="56" bestFit="1" customWidth="1"/>
    <col min="9746" max="9746" width="9.28515625" style="56"/>
    <col min="9747" max="9747" width="10.28515625" style="56" bestFit="1" customWidth="1"/>
    <col min="9748" max="9984" width="9.28515625" style="56"/>
    <col min="9985" max="9985" width="5" style="56" bestFit="1" customWidth="1"/>
    <col min="9986" max="9986" width="19.5703125" style="56" customWidth="1"/>
    <col min="9987" max="9987" width="9.7109375" style="56" customWidth="1"/>
    <col min="9988" max="9988" width="11" style="56" customWidth="1"/>
    <col min="9989" max="9990" width="7.42578125" style="56" customWidth="1"/>
    <col min="9991" max="9991" width="9.28515625" style="56"/>
    <col min="9992" max="9992" width="8.28515625" style="56" customWidth="1"/>
    <col min="9993" max="9993" width="11.5703125" style="56" customWidth="1"/>
    <col min="9994" max="9994" width="9.7109375" style="56" customWidth="1"/>
    <col min="9995" max="9995" width="9.42578125" style="56" customWidth="1"/>
    <col min="9996" max="9996" width="10.42578125" style="56" customWidth="1"/>
    <col min="9997" max="9998" width="0" style="56" hidden="1" customWidth="1"/>
    <col min="9999" max="9999" width="14.42578125" style="56" customWidth="1"/>
    <col min="10000" max="10000" width="12.7109375" style="56" customWidth="1"/>
    <col min="10001" max="10001" width="11.5703125" style="56" bestFit="1" customWidth="1"/>
    <col min="10002" max="10002" width="9.28515625" style="56"/>
    <col min="10003" max="10003" width="10.28515625" style="56" bestFit="1" customWidth="1"/>
    <col min="10004" max="10240" width="9.28515625" style="56"/>
    <col min="10241" max="10241" width="5" style="56" bestFit="1" customWidth="1"/>
    <col min="10242" max="10242" width="19.5703125" style="56" customWidth="1"/>
    <col min="10243" max="10243" width="9.7109375" style="56" customWidth="1"/>
    <col min="10244" max="10244" width="11" style="56" customWidth="1"/>
    <col min="10245" max="10246" width="7.42578125" style="56" customWidth="1"/>
    <col min="10247" max="10247" width="9.28515625" style="56"/>
    <col min="10248" max="10248" width="8.28515625" style="56" customWidth="1"/>
    <col min="10249" max="10249" width="11.5703125" style="56" customWidth="1"/>
    <col min="10250" max="10250" width="9.7109375" style="56" customWidth="1"/>
    <col min="10251" max="10251" width="9.42578125" style="56" customWidth="1"/>
    <col min="10252" max="10252" width="10.42578125" style="56" customWidth="1"/>
    <col min="10253" max="10254" width="0" style="56" hidden="1" customWidth="1"/>
    <col min="10255" max="10255" width="14.42578125" style="56" customWidth="1"/>
    <col min="10256" max="10256" width="12.7109375" style="56" customWidth="1"/>
    <col min="10257" max="10257" width="11.5703125" style="56" bestFit="1" customWidth="1"/>
    <col min="10258" max="10258" width="9.28515625" style="56"/>
    <col min="10259" max="10259" width="10.28515625" style="56" bestFit="1" customWidth="1"/>
    <col min="10260" max="10496" width="9.28515625" style="56"/>
    <col min="10497" max="10497" width="5" style="56" bestFit="1" customWidth="1"/>
    <col min="10498" max="10498" width="19.5703125" style="56" customWidth="1"/>
    <col min="10499" max="10499" width="9.7109375" style="56" customWidth="1"/>
    <col min="10500" max="10500" width="11" style="56" customWidth="1"/>
    <col min="10501" max="10502" width="7.42578125" style="56" customWidth="1"/>
    <col min="10503" max="10503" width="9.28515625" style="56"/>
    <col min="10504" max="10504" width="8.28515625" style="56" customWidth="1"/>
    <col min="10505" max="10505" width="11.5703125" style="56" customWidth="1"/>
    <col min="10506" max="10506" width="9.7109375" style="56" customWidth="1"/>
    <col min="10507" max="10507" width="9.42578125" style="56" customWidth="1"/>
    <col min="10508" max="10508" width="10.42578125" style="56" customWidth="1"/>
    <col min="10509" max="10510" width="0" style="56" hidden="1" customWidth="1"/>
    <col min="10511" max="10511" width="14.42578125" style="56" customWidth="1"/>
    <col min="10512" max="10512" width="12.7109375" style="56" customWidth="1"/>
    <col min="10513" max="10513" width="11.5703125" style="56" bestFit="1" customWidth="1"/>
    <col min="10514" max="10514" width="9.28515625" style="56"/>
    <col min="10515" max="10515" width="10.28515625" style="56" bestFit="1" customWidth="1"/>
    <col min="10516" max="10752" width="9.28515625" style="56"/>
    <col min="10753" max="10753" width="5" style="56" bestFit="1" customWidth="1"/>
    <col min="10754" max="10754" width="19.5703125" style="56" customWidth="1"/>
    <col min="10755" max="10755" width="9.7109375" style="56" customWidth="1"/>
    <col min="10756" max="10756" width="11" style="56" customWidth="1"/>
    <col min="10757" max="10758" width="7.42578125" style="56" customWidth="1"/>
    <col min="10759" max="10759" width="9.28515625" style="56"/>
    <col min="10760" max="10760" width="8.28515625" style="56" customWidth="1"/>
    <col min="10761" max="10761" width="11.5703125" style="56" customWidth="1"/>
    <col min="10762" max="10762" width="9.7109375" style="56" customWidth="1"/>
    <col min="10763" max="10763" width="9.42578125" style="56" customWidth="1"/>
    <col min="10764" max="10764" width="10.42578125" style="56" customWidth="1"/>
    <col min="10765" max="10766" width="0" style="56" hidden="1" customWidth="1"/>
    <col min="10767" max="10767" width="14.42578125" style="56" customWidth="1"/>
    <col min="10768" max="10768" width="12.7109375" style="56" customWidth="1"/>
    <col min="10769" max="10769" width="11.5703125" style="56" bestFit="1" customWidth="1"/>
    <col min="10770" max="10770" width="9.28515625" style="56"/>
    <col min="10771" max="10771" width="10.28515625" style="56" bestFit="1" customWidth="1"/>
    <col min="10772" max="11008" width="9.28515625" style="56"/>
    <col min="11009" max="11009" width="5" style="56" bestFit="1" customWidth="1"/>
    <col min="11010" max="11010" width="19.5703125" style="56" customWidth="1"/>
    <col min="11011" max="11011" width="9.7109375" style="56" customWidth="1"/>
    <col min="11012" max="11012" width="11" style="56" customWidth="1"/>
    <col min="11013" max="11014" width="7.42578125" style="56" customWidth="1"/>
    <col min="11015" max="11015" width="9.28515625" style="56"/>
    <col min="11016" max="11016" width="8.28515625" style="56" customWidth="1"/>
    <col min="11017" max="11017" width="11.5703125" style="56" customWidth="1"/>
    <col min="11018" max="11018" width="9.7109375" style="56" customWidth="1"/>
    <col min="11019" max="11019" width="9.42578125" style="56" customWidth="1"/>
    <col min="11020" max="11020" width="10.42578125" style="56" customWidth="1"/>
    <col min="11021" max="11022" width="0" style="56" hidden="1" customWidth="1"/>
    <col min="11023" max="11023" width="14.42578125" style="56" customWidth="1"/>
    <col min="11024" max="11024" width="12.7109375" style="56" customWidth="1"/>
    <col min="11025" max="11025" width="11.5703125" style="56" bestFit="1" customWidth="1"/>
    <col min="11026" max="11026" width="9.28515625" style="56"/>
    <col min="11027" max="11027" width="10.28515625" style="56" bestFit="1" customWidth="1"/>
    <col min="11028" max="11264" width="9.28515625" style="56"/>
    <col min="11265" max="11265" width="5" style="56" bestFit="1" customWidth="1"/>
    <col min="11266" max="11266" width="19.5703125" style="56" customWidth="1"/>
    <col min="11267" max="11267" width="9.7109375" style="56" customWidth="1"/>
    <col min="11268" max="11268" width="11" style="56" customWidth="1"/>
    <col min="11269" max="11270" width="7.42578125" style="56" customWidth="1"/>
    <col min="11271" max="11271" width="9.28515625" style="56"/>
    <col min="11272" max="11272" width="8.28515625" style="56" customWidth="1"/>
    <col min="11273" max="11273" width="11.5703125" style="56" customWidth="1"/>
    <col min="11274" max="11274" width="9.7109375" style="56" customWidth="1"/>
    <col min="11275" max="11275" width="9.42578125" style="56" customWidth="1"/>
    <col min="11276" max="11276" width="10.42578125" style="56" customWidth="1"/>
    <col min="11277" max="11278" width="0" style="56" hidden="1" customWidth="1"/>
    <col min="11279" max="11279" width="14.42578125" style="56" customWidth="1"/>
    <col min="11280" max="11280" width="12.7109375" style="56" customWidth="1"/>
    <col min="11281" max="11281" width="11.5703125" style="56" bestFit="1" customWidth="1"/>
    <col min="11282" max="11282" width="9.28515625" style="56"/>
    <col min="11283" max="11283" width="10.28515625" style="56" bestFit="1" customWidth="1"/>
    <col min="11284" max="11520" width="9.28515625" style="56"/>
    <col min="11521" max="11521" width="5" style="56" bestFit="1" customWidth="1"/>
    <col min="11522" max="11522" width="19.5703125" style="56" customWidth="1"/>
    <col min="11523" max="11523" width="9.7109375" style="56" customWidth="1"/>
    <col min="11524" max="11524" width="11" style="56" customWidth="1"/>
    <col min="11525" max="11526" width="7.42578125" style="56" customWidth="1"/>
    <col min="11527" max="11527" width="9.28515625" style="56"/>
    <col min="11528" max="11528" width="8.28515625" style="56" customWidth="1"/>
    <col min="11529" max="11529" width="11.5703125" style="56" customWidth="1"/>
    <col min="11530" max="11530" width="9.7109375" style="56" customWidth="1"/>
    <col min="11531" max="11531" width="9.42578125" style="56" customWidth="1"/>
    <col min="11532" max="11532" width="10.42578125" style="56" customWidth="1"/>
    <col min="11533" max="11534" width="0" style="56" hidden="1" customWidth="1"/>
    <col min="11535" max="11535" width="14.42578125" style="56" customWidth="1"/>
    <col min="11536" max="11536" width="12.7109375" style="56" customWidth="1"/>
    <col min="11537" max="11537" width="11.5703125" style="56" bestFit="1" customWidth="1"/>
    <col min="11538" max="11538" width="9.28515625" style="56"/>
    <col min="11539" max="11539" width="10.28515625" style="56" bestFit="1" customWidth="1"/>
    <col min="11540" max="11776" width="9.28515625" style="56"/>
    <col min="11777" max="11777" width="5" style="56" bestFit="1" customWidth="1"/>
    <col min="11778" max="11778" width="19.5703125" style="56" customWidth="1"/>
    <col min="11779" max="11779" width="9.7109375" style="56" customWidth="1"/>
    <col min="11780" max="11780" width="11" style="56" customWidth="1"/>
    <col min="11781" max="11782" width="7.42578125" style="56" customWidth="1"/>
    <col min="11783" max="11783" width="9.28515625" style="56"/>
    <col min="11784" max="11784" width="8.28515625" style="56" customWidth="1"/>
    <col min="11785" max="11785" width="11.5703125" style="56" customWidth="1"/>
    <col min="11786" max="11786" width="9.7109375" style="56" customWidth="1"/>
    <col min="11787" max="11787" width="9.42578125" style="56" customWidth="1"/>
    <col min="11788" max="11788" width="10.42578125" style="56" customWidth="1"/>
    <col min="11789" max="11790" width="0" style="56" hidden="1" customWidth="1"/>
    <col min="11791" max="11791" width="14.42578125" style="56" customWidth="1"/>
    <col min="11792" max="11792" width="12.7109375" style="56" customWidth="1"/>
    <col min="11793" max="11793" width="11.5703125" style="56" bestFit="1" customWidth="1"/>
    <col min="11794" max="11794" width="9.28515625" style="56"/>
    <col min="11795" max="11795" width="10.28515625" style="56" bestFit="1" customWidth="1"/>
    <col min="11796" max="12032" width="9.28515625" style="56"/>
    <col min="12033" max="12033" width="5" style="56" bestFit="1" customWidth="1"/>
    <col min="12034" max="12034" width="19.5703125" style="56" customWidth="1"/>
    <col min="12035" max="12035" width="9.7109375" style="56" customWidth="1"/>
    <col min="12036" max="12036" width="11" style="56" customWidth="1"/>
    <col min="12037" max="12038" width="7.42578125" style="56" customWidth="1"/>
    <col min="12039" max="12039" width="9.28515625" style="56"/>
    <col min="12040" max="12040" width="8.28515625" style="56" customWidth="1"/>
    <col min="12041" max="12041" width="11.5703125" style="56" customWidth="1"/>
    <col min="12042" max="12042" width="9.7109375" style="56" customWidth="1"/>
    <col min="12043" max="12043" width="9.42578125" style="56" customWidth="1"/>
    <col min="12044" max="12044" width="10.42578125" style="56" customWidth="1"/>
    <col min="12045" max="12046" width="0" style="56" hidden="1" customWidth="1"/>
    <col min="12047" max="12047" width="14.42578125" style="56" customWidth="1"/>
    <col min="12048" max="12048" width="12.7109375" style="56" customWidth="1"/>
    <col min="12049" max="12049" width="11.5703125" style="56" bestFit="1" customWidth="1"/>
    <col min="12050" max="12050" width="9.28515625" style="56"/>
    <col min="12051" max="12051" width="10.28515625" style="56" bestFit="1" customWidth="1"/>
    <col min="12052" max="12288" width="9.28515625" style="56"/>
    <col min="12289" max="12289" width="5" style="56" bestFit="1" customWidth="1"/>
    <col min="12290" max="12290" width="19.5703125" style="56" customWidth="1"/>
    <col min="12291" max="12291" width="9.7109375" style="56" customWidth="1"/>
    <col min="12292" max="12292" width="11" style="56" customWidth="1"/>
    <col min="12293" max="12294" width="7.42578125" style="56" customWidth="1"/>
    <col min="12295" max="12295" width="9.28515625" style="56"/>
    <col min="12296" max="12296" width="8.28515625" style="56" customWidth="1"/>
    <col min="12297" max="12297" width="11.5703125" style="56" customWidth="1"/>
    <col min="12298" max="12298" width="9.7109375" style="56" customWidth="1"/>
    <col min="12299" max="12299" width="9.42578125" style="56" customWidth="1"/>
    <col min="12300" max="12300" width="10.42578125" style="56" customWidth="1"/>
    <col min="12301" max="12302" width="0" style="56" hidden="1" customWidth="1"/>
    <col min="12303" max="12303" width="14.42578125" style="56" customWidth="1"/>
    <col min="12304" max="12304" width="12.7109375" style="56" customWidth="1"/>
    <col min="12305" max="12305" width="11.5703125" style="56" bestFit="1" customWidth="1"/>
    <col min="12306" max="12306" width="9.28515625" style="56"/>
    <col min="12307" max="12307" width="10.28515625" style="56" bestFit="1" customWidth="1"/>
    <col min="12308" max="12544" width="9.28515625" style="56"/>
    <col min="12545" max="12545" width="5" style="56" bestFit="1" customWidth="1"/>
    <col min="12546" max="12546" width="19.5703125" style="56" customWidth="1"/>
    <col min="12547" max="12547" width="9.7109375" style="56" customWidth="1"/>
    <col min="12548" max="12548" width="11" style="56" customWidth="1"/>
    <col min="12549" max="12550" width="7.42578125" style="56" customWidth="1"/>
    <col min="12551" max="12551" width="9.28515625" style="56"/>
    <col min="12552" max="12552" width="8.28515625" style="56" customWidth="1"/>
    <col min="12553" max="12553" width="11.5703125" style="56" customWidth="1"/>
    <col min="12554" max="12554" width="9.7109375" style="56" customWidth="1"/>
    <col min="12555" max="12555" width="9.42578125" style="56" customWidth="1"/>
    <col min="12556" max="12556" width="10.42578125" style="56" customWidth="1"/>
    <col min="12557" max="12558" width="0" style="56" hidden="1" customWidth="1"/>
    <col min="12559" max="12559" width="14.42578125" style="56" customWidth="1"/>
    <col min="12560" max="12560" width="12.7109375" style="56" customWidth="1"/>
    <col min="12561" max="12561" width="11.5703125" style="56" bestFit="1" customWidth="1"/>
    <col min="12562" max="12562" width="9.28515625" style="56"/>
    <col min="12563" max="12563" width="10.28515625" style="56" bestFit="1" customWidth="1"/>
    <col min="12564" max="12800" width="9.28515625" style="56"/>
    <col min="12801" max="12801" width="5" style="56" bestFit="1" customWidth="1"/>
    <col min="12802" max="12802" width="19.5703125" style="56" customWidth="1"/>
    <col min="12803" max="12803" width="9.7109375" style="56" customWidth="1"/>
    <col min="12804" max="12804" width="11" style="56" customWidth="1"/>
    <col min="12805" max="12806" width="7.42578125" style="56" customWidth="1"/>
    <col min="12807" max="12807" width="9.28515625" style="56"/>
    <col min="12808" max="12808" width="8.28515625" style="56" customWidth="1"/>
    <col min="12809" max="12809" width="11.5703125" style="56" customWidth="1"/>
    <col min="12810" max="12810" width="9.7109375" style="56" customWidth="1"/>
    <col min="12811" max="12811" width="9.42578125" style="56" customWidth="1"/>
    <col min="12812" max="12812" width="10.42578125" style="56" customWidth="1"/>
    <col min="12813" max="12814" width="0" style="56" hidden="1" customWidth="1"/>
    <col min="12815" max="12815" width="14.42578125" style="56" customWidth="1"/>
    <col min="12816" max="12816" width="12.7109375" style="56" customWidth="1"/>
    <col min="12817" max="12817" width="11.5703125" style="56" bestFit="1" customWidth="1"/>
    <col min="12818" max="12818" width="9.28515625" style="56"/>
    <col min="12819" max="12819" width="10.28515625" style="56" bestFit="1" customWidth="1"/>
    <col min="12820" max="13056" width="9.28515625" style="56"/>
    <col min="13057" max="13057" width="5" style="56" bestFit="1" customWidth="1"/>
    <col min="13058" max="13058" width="19.5703125" style="56" customWidth="1"/>
    <col min="13059" max="13059" width="9.7109375" style="56" customWidth="1"/>
    <col min="13060" max="13060" width="11" style="56" customWidth="1"/>
    <col min="13061" max="13062" width="7.42578125" style="56" customWidth="1"/>
    <col min="13063" max="13063" width="9.28515625" style="56"/>
    <col min="13064" max="13064" width="8.28515625" style="56" customWidth="1"/>
    <col min="13065" max="13065" width="11.5703125" style="56" customWidth="1"/>
    <col min="13066" max="13066" width="9.7109375" style="56" customWidth="1"/>
    <col min="13067" max="13067" width="9.42578125" style="56" customWidth="1"/>
    <col min="13068" max="13068" width="10.42578125" style="56" customWidth="1"/>
    <col min="13069" max="13070" width="0" style="56" hidden="1" customWidth="1"/>
    <col min="13071" max="13071" width="14.42578125" style="56" customWidth="1"/>
    <col min="13072" max="13072" width="12.7109375" style="56" customWidth="1"/>
    <col min="13073" max="13073" width="11.5703125" style="56" bestFit="1" customWidth="1"/>
    <col min="13074" max="13074" width="9.28515625" style="56"/>
    <col min="13075" max="13075" width="10.28515625" style="56" bestFit="1" customWidth="1"/>
    <col min="13076" max="13312" width="9.28515625" style="56"/>
    <col min="13313" max="13313" width="5" style="56" bestFit="1" customWidth="1"/>
    <col min="13314" max="13314" width="19.5703125" style="56" customWidth="1"/>
    <col min="13315" max="13315" width="9.7109375" style="56" customWidth="1"/>
    <col min="13316" max="13316" width="11" style="56" customWidth="1"/>
    <col min="13317" max="13318" width="7.42578125" style="56" customWidth="1"/>
    <col min="13319" max="13319" width="9.28515625" style="56"/>
    <col min="13320" max="13320" width="8.28515625" style="56" customWidth="1"/>
    <col min="13321" max="13321" width="11.5703125" style="56" customWidth="1"/>
    <col min="13322" max="13322" width="9.7109375" style="56" customWidth="1"/>
    <col min="13323" max="13323" width="9.42578125" style="56" customWidth="1"/>
    <col min="13324" max="13324" width="10.42578125" style="56" customWidth="1"/>
    <col min="13325" max="13326" width="0" style="56" hidden="1" customWidth="1"/>
    <col min="13327" max="13327" width="14.42578125" style="56" customWidth="1"/>
    <col min="13328" max="13328" width="12.7109375" style="56" customWidth="1"/>
    <col min="13329" max="13329" width="11.5703125" style="56" bestFit="1" customWidth="1"/>
    <col min="13330" max="13330" width="9.28515625" style="56"/>
    <col min="13331" max="13331" width="10.28515625" style="56" bestFit="1" customWidth="1"/>
    <col min="13332" max="13568" width="9.28515625" style="56"/>
    <col min="13569" max="13569" width="5" style="56" bestFit="1" customWidth="1"/>
    <col min="13570" max="13570" width="19.5703125" style="56" customWidth="1"/>
    <col min="13571" max="13571" width="9.7109375" style="56" customWidth="1"/>
    <col min="13572" max="13572" width="11" style="56" customWidth="1"/>
    <col min="13573" max="13574" width="7.42578125" style="56" customWidth="1"/>
    <col min="13575" max="13575" width="9.28515625" style="56"/>
    <col min="13576" max="13576" width="8.28515625" style="56" customWidth="1"/>
    <col min="13577" max="13577" width="11.5703125" style="56" customWidth="1"/>
    <col min="13578" max="13578" width="9.7109375" style="56" customWidth="1"/>
    <col min="13579" max="13579" width="9.42578125" style="56" customWidth="1"/>
    <col min="13580" max="13580" width="10.42578125" style="56" customWidth="1"/>
    <col min="13581" max="13582" width="0" style="56" hidden="1" customWidth="1"/>
    <col min="13583" max="13583" width="14.42578125" style="56" customWidth="1"/>
    <col min="13584" max="13584" width="12.7109375" style="56" customWidth="1"/>
    <col min="13585" max="13585" width="11.5703125" style="56" bestFit="1" customWidth="1"/>
    <col min="13586" max="13586" width="9.28515625" style="56"/>
    <col min="13587" max="13587" width="10.28515625" style="56" bestFit="1" customWidth="1"/>
    <col min="13588" max="13824" width="9.28515625" style="56"/>
    <col min="13825" max="13825" width="5" style="56" bestFit="1" customWidth="1"/>
    <col min="13826" max="13826" width="19.5703125" style="56" customWidth="1"/>
    <col min="13827" max="13827" width="9.7109375" style="56" customWidth="1"/>
    <col min="13828" max="13828" width="11" style="56" customWidth="1"/>
    <col min="13829" max="13830" width="7.42578125" style="56" customWidth="1"/>
    <col min="13831" max="13831" width="9.28515625" style="56"/>
    <col min="13832" max="13832" width="8.28515625" style="56" customWidth="1"/>
    <col min="13833" max="13833" width="11.5703125" style="56" customWidth="1"/>
    <col min="13834" max="13834" width="9.7109375" style="56" customWidth="1"/>
    <col min="13835" max="13835" width="9.42578125" style="56" customWidth="1"/>
    <col min="13836" max="13836" width="10.42578125" style="56" customWidth="1"/>
    <col min="13837" max="13838" width="0" style="56" hidden="1" customWidth="1"/>
    <col min="13839" max="13839" width="14.42578125" style="56" customWidth="1"/>
    <col min="13840" max="13840" width="12.7109375" style="56" customWidth="1"/>
    <col min="13841" max="13841" width="11.5703125" style="56" bestFit="1" customWidth="1"/>
    <col min="13842" max="13842" width="9.28515625" style="56"/>
    <col min="13843" max="13843" width="10.28515625" style="56" bestFit="1" customWidth="1"/>
    <col min="13844" max="14080" width="9.28515625" style="56"/>
    <col min="14081" max="14081" width="5" style="56" bestFit="1" customWidth="1"/>
    <col min="14082" max="14082" width="19.5703125" style="56" customWidth="1"/>
    <col min="14083" max="14083" width="9.7109375" style="56" customWidth="1"/>
    <col min="14084" max="14084" width="11" style="56" customWidth="1"/>
    <col min="14085" max="14086" width="7.42578125" style="56" customWidth="1"/>
    <col min="14087" max="14087" width="9.28515625" style="56"/>
    <col min="14088" max="14088" width="8.28515625" style="56" customWidth="1"/>
    <col min="14089" max="14089" width="11.5703125" style="56" customWidth="1"/>
    <col min="14090" max="14090" width="9.7109375" style="56" customWidth="1"/>
    <col min="14091" max="14091" width="9.42578125" style="56" customWidth="1"/>
    <col min="14092" max="14092" width="10.42578125" style="56" customWidth="1"/>
    <col min="14093" max="14094" width="0" style="56" hidden="1" customWidth="1"/>
    <col min="14095" max="14095" width="14.42578125" style="56" customWidth="1"/>
    <col min="14096" max="14096" width="12.7109375" style="56" customWidth="1"/>
    <col min="14097" max="14097" width="11.5703125" style="56" bestFit="1" customWidth="1"/>
    <col min="14098" max="14098" width="9.28515625" style="56"/>
    <col min="14099" max="14099" width="10.28515625" style="56" bestFit="1" customWidth="1"/>
    <col min="14100" max="14336" width="9.28515625" style="56"/>
    <col min="14337" max="14337" width="5" style="56" bestFit="1" customWidth="1"/>
    <col min="14338" max="14338" width="19.5703125" style="56" customWidth="1"/>
    <col min="14339" max="14339" width="9.7109375" style="56" customWidth="1"/>
    <col min="14340" max="14340" width="11" style="56" customWidth="1"/>
    <col min="14341" max="14342" width="7.42578125" style="56" customWidth="1"/>
    <col min="14343" max="14343" width="9.28515625" style="56"/>
    <col min="14344" max="14344" width="8.28515625" style="56" customWidth="1"/>
    <col min="14345" max="14345" width="11.5703125" style="56" customWidth="1"/>
    <col min="14346" max="14346" width="9.7109375" style="56" customWidth="1"/>
    <col min="14347" max="14347" width="9.42578125" style="56" customWidth="1"/>
    <col min="14348" max="14348" width="10.42578125" style="56" customWidth="1"/>
    <col min="14349" max="14350" width="0" style="56" hidden="1" customWidth="1"/>
    <col min="14351" max="14351" width="14.42578125" style="56" customWidth="1"/>
    <col min="14352" max="14352" width="12.7109375" style="56" customWidth="1"/>
    <col min="14353" max="14353" width="11.5703125" style="56" bestFit="1" customWidth="1"/>
    <col min="14354" max="14354" width="9.28515625" style="56"/>
    <col min="14355" max="14355" width="10.28515625" style="56" bestFit="1" customWidth="1"/>
    <col min="14356" max="14592" width="9.28515625" style="56"/>
    <col min="14593" max="14593" width="5" style="56" bestFit="1" customWidth="1"/>
    <col min="14594" max="14594" width="19.5703125" style="56" customWidth="1"/>
    <col min="14595" max="14595" width="9.7109375" style="56" customWidth="1"/>
    <col min="14596" max="14596" width="11" style="56" customWidth="1"/>
    <col min="14597" max="14598" width="7.42578125" style="56" customWidth="1"/>
    <col min="14599" max="14599" width="9.28515625" style="56"/>
    <col min="14600" max="14600" width="8.28515625" style="56" customWidth="1"/>
    <col min="14601" max="14601" width="11.5703125" style="56" customWidth="1"/>
    <col min="14602" max="14602" width="9.7109375" style="56" customWidth="1"/>
    <col min="14603" max="14603" width="9.42578125" style="56" customWidth="1"/>
    <col min="14604" max="14604" width="10.42578125" style="56" customWidth="1"/>
    <col min="14605" max="14606" width="0" style="56" hidden="1" customWidth="1"/>
    <col min="14607" max="14607" width="14.42578125" style="56" customWidth="1"/>
    <col min="14608" max="14608" width="12.7109375" style="56" customWidth="1"/>
    <col min="14609" max="14609" width="11.5703125" style="56" bestFit="1" customWidth="1"/>
    <col min="14610" max="14610" width="9.28515625" style="56"/>
    <col min="14611" max="14611" width="10.28515625" style="56" bestFit="1" customWidth="1"/>
    <col min="14612" max="14848" width="9.28515625" style="56"/>
    <col min="14849" max="14849" width="5" style="56" bestFit="1" customWidth="1"/>
    <col min="14850" max="14850" width="19.5703125" style="56" customWidth="1"/>
    <col min="14851" max="14851" width="9.7109375" style="56" customWidth="1"/>
    <col min="14852" max="14852" width="11" style="56" customWidth="1"/>
    <col min="14853" max="14854" width="7.42578125" style="56" customWidth="1"/>
    <col min="14855" max="14855" width="9.28515625" style="56"/>
    <col min="14856" max="14856" width="8.28515625" style="56" customWidth="1"/>
    <col min="14857" max="14857" width="11.5703125" style="56" customWidth="1"/>
    <col min="14858" max="14858" width="9.7109375" style="56" customWidth="1"/>
    <col min="14859" max="14859" width="9.42578125" style="56" customWidth="1"/>
    <col min="14860" max="14860" width="10.42578125" style="56" customWidth="1"/>
    <col min="14861" max="14862" width="0" style="56" hidden="1" customWidth="1"/>
    <col min="14863" max="14863" width="14.42578125" style="56" customWidth="1"/>
    <col min="14864" max="14864" width="12.7109375" style="56" customWidth="1"/>
    <col min="14865" max="14865" width="11.5703125" style="56" bestFit="1" customWidth="1"/>
    <col min="14866" max="14866" width="9.28515625" style="56"/>
    <col min="14867" max="14867" width="10.28515625" style="56" bestFit="1" customWidth="1"/>
    <col min="14868" max="15104" width="9.28515625" style="56"/>
    <col min="15105" max="15105" width="5" style="56" bestFit="1" customWidth="1"/>
    <col min="15106" max="15106" width="19.5703125" style="56" customWidth="1"/>
    <col min="15107" max="15107" width="9.7109375" style="56" customWidth="1"/>
    <col min="15108" max="15108" width="11" style="56" customWidth="1"/>
    <col min="15109" max="15110" width="7.42578125" style="56" customWidth="1"/>
    <col min="15111" max="15111" width="9.28515625" style="56"/>
    <col min="15112" max="15112" width="8.28515625" style="56" customWidth="1"/>
    <col min="15113" max="15113" width="11.5703125" style="56" customWidth="1"/>
    <col min="15114" max="15114" width="9.7109375" style="56" customWidth="1"/>
    <col min="15115" max="15115" width="9.42578125" style="56" customWidth="1"/>
    <col min="15116" max="15116" width="10.42578125" style="56" customWidth="1"/>
    <col min="15117" max="15118" width="0" style="56" hidden="1" customWidth="1"/>
    <col min="15119" max="15119" width="14.42578125" style="56" customWidth="1"/>
    <col min="15120" max="15120" width="12.7109375" style="56" customWidth="1"/>
    <col min="15121" max="15121" width="11.5703125" style="56" bestFit="1" customWidth="1"/>
    <col min="15122" max="15122" width="9.28515625" style="56"/>
    <col min="15123" max="15123" width="10.28515625" style="56" bestFit="1" customWidth="1"/>
    <col min="15124" max="15360" width="9.28515625" style="56"/>
    <col min="15361" max="15361" width="5" style="56" bestFit="1" customWidth="1"/>
    <col min="15362" max="15362" width="19.5703125" style="56" customWidth="1"/>
    <col min="15363" max="15363" width="9.7109375" style="56" customWidth="1"/>
    <col min="15364" max="15364" width="11" style="56" customWidth="1"/>
    <col min="15365" max="15366" width="7.42578125" style="56" customWidth="1"/>
    <col min="15367" max="15367" width="9.28515625" style="56"/>
    <col min="15368" max="15368" width="8.28515625" style="56" customWidth="1"/>
    <col min="15369" max="15369" width="11.5703125" style="56" customWidth="1"/>
    <col min="15370" max="15370" width="9.7109375" style="56" customWidth="1"/>
    <col min="15371" max="15371" width="9.42578125" style="56" customWidth="1"/>
    <col min="15372" max="15372" width="10.42578125" style="56" customWidth="1"/>
    <col min="15373" max="15374" width="0" style="56" hidden="1" customWidth="1"/>
    <col min="15375" max="15375" width="14.42578125" style="56" customWidth="1"/>
    <col min="15376" max="15376" width="12.7109375" style="56" customWidth="1"/>
    <col min="15377" max="15377" width="11.5703125" style="56" bestFit="1" customWidth="1"/>
    <col min="15378" max="15378" width="9.28515625" style="56"/>
    <col min="15379" max="15379" width="10.28515625" style="56" bestFit="1" customWidth="1"/>
    <col min="15380" max="15616" width="9.28515625" style="56"/>
    <col min="15617" max="15617" width="5" style="56" bestFit="1" customWidth="1"/>
    <col min="15618" max="15618" width="19.5703125" style="56" customWidth="1"/>
    <col min="15619" max="15619" width="9.7109375" style="56" customWidth="1"/>
    <col min="15620" max="15620" width="11" style="56" customWidth="1"/>
    <col min="15621" max="15622" width="7.42578125" style="56" customWidth="1"/>
    <col min="15623" max="15623" width="9.28515625" style="56"/>
    <col min="15624" max="15624" width="8.28515625" style="56" customWidth="1"/>
    <col min="15625" max="15625" width="11.5703125" style="56" customWidth="1"/>
    <col min="15626" max="15626" width="9.7109375" style="56" customWidth="1"/>
    <col min="15627" max="15627" width="9.42578125" style="56" customWidth="1"/>
    <col min="15628" max="15628" width="10.42578125" style="56" customWidth="1"/>
    <col min="15629" max="15630" width="0" style="56" hidden="1" customWidth="1"/>
    <col min="15631" max="15631" width="14.42578125" style="56" customWidth="1"/>
    <col min="15632" max="15632" width="12.7109375" style="56" customWidth="1"/>
    <col min="15633" max="15633" width="11.5703125" style="56" bestFit="1" customWidth="1"/>
    <col min="15634" max="15634" width="9.28515625" style="56"/>
    <col min="15635" max="15635" width="10.28515625" style="56" bestFit="1" customWidth="1"/>
    <col min="15636" max="15872" width="9.28515625" style="56"/>
    <col min="15873" max="15873" width="5" style="56" bestFit="1" customWidth="1"/>
    <col min="15874" max="15874" width="19.5703125" style="56" customWidth="1"/>
    <col min="15875" max="15875" width="9.7109375" style="56" customWidth="1"/>
    <col min="15876" max="15876" width="11" style="56" customWidth="1"/>
    <col min="15877" max="15878" width="7.42578125" style="56" customWidth="1"/>
    <col min="15879" max="15879" width="9.28515625" style="56"/>
    <col min="15880" max="15880" width="8.28515625" style="56" customWidth="1"/>
    <col min="15881" max="15881" width="11.5703125" style="56" customWidth="1"/>
    <col min="15882" max="15882" width="9.7109375" style="56" customWidth="1"/>
    <col min="15883" max="15883" width="9.42578125" style="56" customWidth="1"/>
    <col min="15884" max="15884" width="10.42578125" style="56" customWidth="1"/>
    <col min="15885" max="15886" width="0" style="56" hidden="1" customWidth="1"/>
    <col min="15887" max="15887" width="14.42578125" style="56" customWidth="1"/>
    <col min="15888" max="15888" width="12.7109375" style="56" customWidth="1"/>
    <col min="15889" max="15889" width="11.5703125" style="56" bestFit="1" customWidth="1"/>
    <col min="15890" max="15890" width="9.28515625" style="56"/>
    <col min="15891" max="15891" width="10.28515625" style="56" bestFit="1" customWidth="1"/>
    <col min="15892" max="16128" width="9.28515625" style="56"/>
    <col min="16129" max="16129" width="5" style="56" bestFit="1" customWidth="1"/>
    <col min="16130" max="16130" width="19.5703125" style="56" customWidth="1"/>
    <col min="16131" max="16131" width="9.7109375" style="56" customWidth="1"/>
    <col min="16132" max="16132" width="11" style="56" customWidth="1"/>
    <col min="16133" max="16134" width="7.42578125" style="56" customWidth="1"/>
    <col min="16135" max="16135" width="9.28515625" style="56"/>
    <col min="16136" max="16136" width="8.28515625" style="56" customWidth="1"/>
    <col min="16137" max="16137" width="11.5703125" style="56" customWidth="1"/>
    <col min="16138" max="16138" width="9.7109375" style="56" customWidth="1"/>
    <col min="16139" max="16139" width="9.42578125" style="56" customWidth="1"/>
    <col min="16140" max="16140" width="10.42578125" style="56" customWidth="1"/>
    <col min="16141" max="16142" width="0" style="56" hidden="1" customWidth="1"/>
    <col min="16143" max="16143" width="14.42578125" style="56" customWidth="1"/>
    <col min="16144" max="16144" width="12.7109375" style="56" customWidth="1"/>
    <col min="16145" max="16145" width="11.5703125" style="56" bestFit="1" customWidth="1"/>
    <col min="16146" max="16146" width="9.28515625" style="56"/>
    <col min="16147" max="16147" width="10.28515625" style="56" bestFit="1" customWidth="1"/>
    <col min="16148" max="16384" width="9.28515625" style="56"/>
  </cols>
  <sheetData>
    <row r="1" spans="1:27" s="312" customFormat="1">
      <c r="O1" s="313"/>
      <c r="W1" s="313"/>
      <c r="AA1" s="168" t="s">
        <v>0</v>
      </c>
    </row>
    <row r="2" spans="1:27" s="312" customFormat="1">
      <c r="O2" s="313"/>
      <c r="W2" s="313"/>
      <c r="AA2" s="1" t="s">
        <v>296</v>
      </c>
    </row>
    <row r="3" spans="1:27" s="312" customFormat="1">
      <c r="O3" s="313"/>
      <c r="W3" s="313"/>
      <c r="AA3" s="168" t="s">
        <v>226</v>
      </c>
    </row>
    <row r="4" spans="1:27" s="312" customFormat="1">
      <c r="O4" s="313"/>
      <c r="W4" s="313"/>
      <c r="AA4" s="168" t="s">
        <v>227</v>
      </c>
    </row>
    <row r="5" spans="1:27" s="312" customFormat="1">
      <c r="AA5" s="11" t="s">
        <v>388</v>
      </c>
    </row>
    <row r="6" spans="1:27" s="312" customFormat="1">
      <c r="AA6" s="11"/>
    </row>
    <row r="7" spans="1:27" s="312" customFormat="1">
      <c r="A7" s="489" t="s">
        <v>358</v>
      </c>
      <c r="B7" s="489"/>
      <c r="C7" s="489"/>
      <c r="D7" s="489"/>
      <c r="E7" s="489"/>
      <c r="F7" s="489"/>
      <c r="G7" s="489"/>
      <c r="H7" s="489"/>
      <c r="I7" s="489"/>
      <c r="J7" s="489"/>
      <c r="K7" s="489"/>
      <c r="L7" s="489"/>
      <c r="M7" s="489"/>
      <c r="N7" s="489"/>
      <c r="O7" s="489"/>
      <c r="P7" s="489"/>
      <c r="Q7" s="489"/>
      <c r="R7" s="489"/>
      <c r="S7" s="489"/>
      <c r="T7" s="489"/>
      <c r="U7" s="489"/>
      <c r="V7" s="489"/>
      <c r="W7" s="489"/>
      <c r="X7" s="489"/>
      <c r="Y7" s="489"/>
      <c r="Z7" s="489"/>
      <c r="AA7" s="489"/>
    </row>
    <row r="9" spans="1:27">
      <c r="A9" s="490" t="s">
        <v>2</v>
      </c>
      <c r="B9" s="490" t="s">
        <v>31</v>
      </c>
      <c r="C9" s="490" t="s">
        <v>32</v>
      </c>
      <c r="D9" s="490" t="s">
        <v>33</v>
      </c>
      <c r="E9" s="490" t="s">
        <v>359</v>
      </c>
      <c r="F9" s="491" t="s">
        <v>36</v>
      </c>
      <c r="G9" s="492" t="s">
        <v>360</v>
      </c>
      <c r="H9" s="493"/>
      <c r="I9" s="493"/>
      <c r="J9" s="493"/>
      <c r="K9" s="493"/>
      <c r="L9" s="493"/>
      <c r="M9" s="493"/>
      <c r="N9" s="493"/>
      <c r="O9" s="493"/>
      <c r="P9" s="493"/>
      <c r="Q9" s="494"/>
      <c r="R9" s="490" t="s">
        <v>41</v>
      </c>
      <c r="S9" s="490" t="s">
        <v>361</v>
      </c>
      <c r="T9" s="490" t="s">
        <v>362</v>
      </c>
      <c r="U9" s="490" t="s">
        <v>363</v>
      </c>
      <c r="V9" s="490" t="s">
        <v>364</v>
      </c>
      <c r="W9" s="490" t="s">
        <v>365</v>
      </c>
      <c r="X9" s="497" t="s">
        <v>366</v>
      </c>
      <c r="Y9" s="497" t="s">
        <v>367</v>
      </c>
      <c r="Z9" s="497" t="s">
        <v>368</v>
      </c>
      <c r="AA9" s="497" t="s">
        <v>369</v>
      </c>
    </row>
    <row r="10" spans="1:27" ht="66">
      <c r="A10" s="490"/>
      <c r="B10" s="490"/>
      <c r="C10" s="490"/>
      <c r="D10" s="490"/>
      <c r="E10" s="490"/>
      <c r="F10" s="491"/>
      <c r="G10" s="490" t="s">
        <v>370</v>
      </c>
      <c r="H10" s="490"/>
      <c r="I10" s="314" t="s">
        <v>38</v>
      </c>
      <c r="J10" s="490" t="s">
        <v>371</v>
      </c>
      <c r="K10" s="490"/>
      <c r="L10" s="499" t="s">
        <v>372</v>
      </c>
      <c r="M10" s="500"/>
      <c r="N10" s="490" t="s">
        <v>39</v>
      </c>
      <c r="O10" s="490"/>
      <c r="P10" s="501" t="s">
        <v>373</v>
      </c>
      <c r="Q10" s="502"/>
      <c r="R10" s="490"/>
      <c r="S10" s="490"/>
      <c r="T10" s="490"/>
      <c r="U10" s="490"/>
      <c r="V10" s="490"/>
      <c r="W10" s="490"/>
      <c r="X10" s="498"/>
      <c r="Y10" s="498"/>
      <c r="Z10" s="498"/>
      <c r="AA10" s="498"/>
    </row>
    <row r="11" spans="1:27" ht="25.5">
      <c r="A11" s="490"/>
      <c r="B11" s="490"/>
      <c r="C11" s="490"/>
      <c r="D11" s="490"/>
      <c r="E11" s="490"/>
      <c r="F11" s="491"/>
      <c r="G11" s="315" t="s">
        <v>5</v>
      </c>
      <c r="H11" s="315" t="s">
        <v>44</v>
      </c>
      <c r="I11" s="315" t="s">
        <v>44</v>
      </c>
      <c r="J11" s="315" t="s">
        <v>5</v>
      </c>
      <c r="K11" s="315" t="s">
        <v>44</v>
      </c>
      <c r="L11" s="315" t="s">
        <v>5</v>
      </c>
      <c r="M11" s="315" t="s">
        <v>44</v>
      </c>
      <c r="N11" s="315" t="s">
        <v>5</v>
      </c>
      <c r="O11" s="315" t="s">
        <v>44</v>
      </c>
      <c r="P11" s="315" t="s">
        <v>5</v>
      </c>
      <c r="Q11" s="315" t="s">
        <v>44</v>
      </c>
      <c r="R11" s="315" t="s">
        <v>44</v>
      </c>
      <c r="S11" s="315" t="s">
        <v>44</v>
      </c>
      <c r="T11" s="315" t="s">
        <v>44</v>
      </c>
      <c r="U11" s="315" t="s">
        <v>44</v>
      </c>
      <c r="V11" s="315"/>
      <c r="W11" s="315" t="s">
        <v>44</v>
      </c>
      <c r="X11" s="315"/>
      <c r="Y11" s="315" t="s">
        <v>44</v>
      </c>
      <c r="Z11" s="315" t="s">
        <v>44</v>
      </c>
      <c r="AA11" s="315" t="s">
        <v>44</v>
      </c>
    </row>
    <row r="12" spans="1:27">
      <c r="A12" s="315">
        <v>1</v>
      </c>
      <c r="B12" s="315">
        <v>2</v>
      </c>
      <c r="C12" s="315">
        <v>3</v>
      </c>
      <c r="D12" s="315">
        <v>4</v>
      </c>
      <c r="E12" s="315">
        <v>5</v>
      </c>
      <c r="F12" s="315">
        <v>6</v>
      </c>
      <c r="G12" s="315">
        <v>7</v>
      </c>
      <c r="H12" s="315">
        <v>8</v>
      </c>
      <c r="I12" s="315">
        <v>9</v>
      </c>
      <c r="J12" s="315">
        <v>10</v>
      </c>
      <c r="K12" s="315">
        <v>11</v>
      </c>
      <c r="L12" s="315">
        <v>12</v>
      </c>
      <c r="M12" s="315">
        <v>13</v>
      </c>
      <c r="N12" s="315">
        <v>9</v>
      </c>
      <c r="O12" s="315">
        <v>10</v>
      </c>
      <c r="P12" s="315">
        <v>16</v>
      </c>
      <c r="Q12" s="315">
        <v>17</v>
      </c>
      <c r="R12" s="315">
        <v>11</v>
      </c>
      <c r="S12" s="315">
        <v>12</v>
      </c>
      <c r="T12" s="315">
        <v>13</v>
      </c>
      <c r="U12" s="315">
        <v>14</v>
      </c>
      <c r="V12" s="316" t="s">
        <v>374</v>
      </c>
      <c r="W12" s="316" t="s">
        <v>375</v>
      </c>
      <c r="X12" s="316" t="s">
        <v>376</v>
      </c>
      <c r="Y12" s="316" t="s">
        <v>377</v>
      </c>
      <c r="Z12" s="316" t="s">
        <v>378</v>
      </c>
      <c r="AA12" s="316" t="s">
        <v>379</v>
      </c>
    </row>
    <row r="13" spans="1:27">
      <c r="A13" s="317">
        <v>1</v>
      </c>
      <c r="B13" s="233" t="s">
        <v>52</v>
      </c>
      <c r="C13" s="318">
        <v>1</v>
      </c>
      <c r="D13" s="318">
        <v>7040</v>
      </c>
      <c r="E13" s="319">
        <v>4</v>
      </c>
      <c r="F13" s="320">
        <f>+D13*E13</f>
        <v>28160</v>
      </c>
      <c r="G13" s="321">
        <v>0.15</v>
      </c>
      <c r="H13" s="322">
        <f>F13*G13</f>
        <v>4224</v>
      </c>
      <c r="I13" s="323"/>
      <c r="J13" s="324"/>
      <c r="K13" s="322"/>
      <c r="L13" s="325"/>
      <c r="M13" s="322"/>
      <c r="N13" s="321">
        <v>0.5</v>
      </c>
      <c r="O13" s="322">
        <f t="shared" ref="O13:O21" si="0">+F13*N13</f>
        <v>14080</v>
      </c>
      <c r="P13" s="324"/>
      <c r="Q13" s="322"/>
      <c r="R13" s="322">
        <f t="shared" ref="R13:R21" si="1">+F13+H13+I13+K13+M13+O13+Q13</f>
        <v>46464</v>
      </c>
      <c r="S13" s="322">
        <f t="shared" ref="S13:S21" si="2">R13</f>
        <v>46464</v>
      </c>
      <c r="T13" s="322"/>
      <c r="U13" s="322"/>
      <c r="V13" s="322"/>
      <c r="W13" s="322">
        <f>+S13*1</f>
        <v>46464</v>
      </c>
      <c r="X13" s="322"/>
      <c r="Y13" s="318">
        <f>(S13*7)+T13+U13+W13</f>
        <v>371712</v>
      </c>
      <c r="Z13" s="318">
        <f t="shared" ref="Z13:Z21" si="3">((S13*7)+T13+W13)*0.1725</f>
        <v>64120.319999999992</v>
      </c>
      <c r="AA13" s="318">
        <f t="shared" ref="AA13:AA21" si="4">Y13+Z13+X13</f>
        <v>435832.32000000001</v>
      </c>
    </row>
    <row r="14" spans="1:27">
      <c r="A14" s="317">
        <v>2</v>
      </c>
      <c r="B14" s="233" t="s">
        <v>380</v>
      </c>
      <c r="C14" s="318">
        <v>1</v>
      </c>
      <c r="D14" s="318">
        <v>7040</v>
      </c>
      <c r="E14" s="319">
        <v>3.05</v>
      </c>
      <c r="F14" s="320">
        <f t="shared" ref="F14:F20" si="5">+D14*E14</f>
        <v>21472</v>
      </c>
      <c r="G14" s="321">
        <v>0.2</v>
      </c>
      <c r="H14" s="322">
        <f t="shared" ref="H14:H21" si="6">F14*G14</f>
        <v>4294.4000000000005</v>
      </c>
      <c r="I14" s="326"/>
      <c r="J14" s="324"/>
      <c r="K14" s="322"/>
      <c r="L14" s="325"/>
      <c r="M14" s="322"/>
      <c r="N14" s="321">
        <v>0.5</v>
      </c>
      <c r="O14" s="322">
        <f t="shared" si="0"/>
        <v>10736</v>
      </c>
      <c r="P14" s="324"/>
      <c r="Q14" s="322"/>
      <c r="R14" s="322">
        <f t="shared" si="1"/>
        <v>36502.400000000001</v>
      </c>
      <c r="S14" s="322">
        <f t="shared" si="2"/>
        <v>36502.400000000001</v>
      </c>
      <c r="T14" s="322">
        <f>S14</f>
        <v>36502.400000000001</v>
      </c>
      <c r="U14" s="322">
        <f>S14*2</f>
        <v>73004.800000000003</v>
      </c>
      <c r="V14" s="322"/>
      <c r="W14" s="322">
        <f t="shared" ref="W14:W21" si="7">+S14*1</f>
        <v>36502.400000000001</v>
      </c>
      <c r="X14" s="322"/>
      <c r="Y14" s="318">
        <f t="shared" ref="Y14:Y21" si="8">(S14*7)+T14+U14+W14</f>
        <v>401526.4</v>
      </c>
      <c r="Z14" s="318">
        <f t="shared" si="3"/>
        <v>56669.976000000002</v>
      </c>
      <c r="AA14" s="318">
        <f t="shared" si="4"/>
        <v>458196.37600000005</v>
      </c>
    </row>
    <row r="15" spans="1:27">
      <c r="A15" s="317">
        <v>3</v>
      </c>
      <c r="B15" s="233" t="s">
        <v>381</v>
      </c>
      <c r="C15" s="318">
        <v>1</v>
      </c>
      <c r="D15" s="318">
        <v>7040</v>
      </c>
      <c r="E15" s="319">
        <v>3.43</v>
      </c>
      <c r="F15" s="320">
        <f t="shared" si="5"/>
        <v>24147.200000000001</v>
      </c>
      <c r="G15" s="321">
        <v>0.4</v>
      </c>
      <c r="H15" s="322">
        <f t="shared" si="6"/>
        <v>9658.880000000001</v>
      </c>
      <c r="I15" s="326"/>
      <c r="J15" s="326"/>
      <c r="K15" s="326"/>
      <c r="L15" s="325"/>
      <c r="M15" s="322"/>
      <c r="N15" s="321">
        <v>0.5</v>
      </c>
      <c r="O15" s="322">
        <f t="shared" si="0"/>
        <v>12073.6</v>
      </c>
      <c r="P15" s="324"/>
      <c r="Q15" s="322"/>
      <c r="R15" s="322">
        <f t="shared" si="1"/>
        <v>45879.68</v>
      </c>
      <c r="S15" s="322">
        <f t="shared" si="2"/>
        <v>45879.68</v>
      </c>
      <c r="T15" s="322"/>
      <c r="U15" s="322"/>
      <c r="V15" s="322"/>
      <c r="W15" s="322">
        <f t="shared" si="7"/>
        <v>45879.68</v>
      </c>
      <c r="X15" s="322"/>
      <c r="Y15" s="318">
        <f t="shared" si="8"/>
        <v>367037.44</v>
      </c>
      <c r="Z15" s="318">
        <f t="shared" si="3"/>
        <v>63313.958399999996</v>
      </c>
      <c r="AA15" s="318">
        <f t="shared" si="4"/>
        <v>430351.39840000001</v>
      </c>
    </row>
    <row r="16" spans="1:27">
      <c r="A16" s="317">
        <v>4</v>
      </c>
      <c r="B16" s="233" t="s">
        <v>382</v>
      </c>
      <c r="C16" s="318">
        <v>1</v>
      </c>
      <c r="D16" s="318">
        <v>7040</v>
      </c>
      <c r="E16" s="319">
        <v>2.29</v>
      </c>
      <c r="F16" s="320">
        <f t="shared" si="5"/>
        <v>16121.6</v>
      </c>
      <c r="G16" s="321">
        <v>0.3</v>
      </c>
      <c r="H16" s="322">
        <f t="shared" si="6"/>
        <v>4836.4799999999996</v>
      </c>
      <c r="I16" s="326"/>
      <c r="J16" s="326"/>
      <c r="K16" s="326"/>
      <c r="L16" s="325"/>
      <c r="M16" s="322"/>
      <c r="N16" s="321">
        <v>0.5</v>
      </c>
      <c r="O16" s="322">
        <f t="shared" si="0"/>
        <v>8060.8</v>
      </c>
      <c r="P16" s="324"/>
      <c r="Q16" s="322"/>
      <c r="R16" s="322">
        <f t="shared" si="1"/>
        <v>29018.880000000001</v>
      </c>
      <c r="S16" s="322">
        <f t="shared" si="2"/>
        <v>29018.880000000001</v>
      </c>
      <c r="T16" s="322">
        <f>S16</f>
        <v>29018.880000000001</v>
      </c>
      <c r="U16" s="322">
        <f>S16*2</f>
        <v>58037.760000000002</v>
      </c>
      <c r="V16" s="322"/>
      <c r="W16" s="322">
        <f t="shared" si="7"/>
        <v>29018.880000000001</v>
      </c>
      <c r="X16" s="322"/>
      <c r="Y16" s="318">
        <f>(S16*7)+T16+U16+W16</f>
        <v>319207.67999999999</v>
      </c>
      <c r="Z16" s="318">
        <f t="shared" si="3"/>
        <v>45051.811199999996</v>
      </c>
      <c r="AA16" s="318">
        <f t="shared" si="4"/>
        <v>364259.49119999999</v>
      </c>
    </row>
    <row r="17" spans="1:27">
      <c r="A17" s="317">
        <v>5</v>
      </c>
      <c r="B17" s="233" t="s">
        <v>383</v>
      </c>
      <c r="C17" s="318">
        <v>1</v>
      </c>
      <c r="D17" s="318">
        <v>7040</v>
      </c>
      <c r="E17" s="319">
        <v>2.29</v>
      </c>
      <c r="F17" s="320">
        <f t="shared" si="5"/>
        <v>16121.6</v>
      </c>
      <c r="G17" s="321">
        <v>0.15</v>
      </c>
      <c r="H17" s="322">
        <f t="shared" si="6"/>
        <v>2418.2399999999998</v>
      </c>
      <c r="I17" s="326"/>
      <c r="J17" s="324"/>
      <c r="K17" s="322"/>
      <c r="L17" s="325"/>
      <c r="M17" s="322"/>
      <c r="N17" s="321">
        <v>0.5</v>
      </c>
      <c r="O17" s="322">
        <f t="shared" si="0"/>
        <v>8060.8</v>
      </c>
      <c r="P17" s="324"/>
      <c r="Q17" s="322"/>
      <c r="R17" s="322">
        <f t="shared" si="1"/>
        <v>26600.639999999999</v>
      </c>
      <c r="S17" s="322">
        <f t="shared" si="2"/>
        <v>26600.639999999999</v>
      </c>
      <c r="T17" s="322">
        <f>S17</f>
        <v>26600.639999999999</v>
      </c>
      <c r="U17" s="322">
        <f>S17*2</f>
        <v>53201.279999999999</v>
      </c>
      <c r="V17" s="322"/>
      <c r="W17" s="322">
        <f t="shared" si="7"/>
        <v>26600.639999999999</v>
      </c>
      <c r="X17" s="322"/>
      <c r="Y17" s="318">
        <f>(S17*7)+T17+U17+W17</f>
        <v>292607.04000000004</v>
      </c>
      <c r="Z17" s="318">
        <f t="shared" si="3"/>
        <v>41297.493600000002</v>
      </c>
      <c r="AA17" s="318">
        <f t="shared" si="4"/>
        <v>333904.53360000002</v>
      </c>
    </row>
    <row r="18" spans="1:27">
      <c r="A18" s="317">
        <v>6</v>
      </c>
      <c r="B18" s="233" t="s">
        <v>383</v>
      </c>
      <c r="C18" s="318">
        <v>1</v>
      </c>
      <c r="D18" s="318">
        <v>7040</v>
      </c>
      <c r="E18" s="319">
        <v>2.29</v>
      </c>
      <c r="F18" s="320">
        <f t="shared" si="5"/>
        <v>16121.6</v>
      </c>
      <c r="G18" s="321">
        <v>0.15</v>
      </c>
      <c r="H18" s="322">
        <f t="shared" si="6"/>
        <v>2418.2399999999998</v>
      </c>
      <c r="I18" s="326"/>
      <c r="J18" s="326"/>
      <c r="K18" s="326"/>
      <c r="L18" s="325"/>
      <c r="M18" s="322"/>
      <c r="N18" s="321">
        <v>0.5</v>
      </c>
      <c r="O18" s="322">
        <f t="shared" si="0"/>
        <v>8060.8</v>
      </c>
      <c r="P18" s="324"/>
      <c r="Q18" s="322"/>
      <c r="R18" s="322">
        <f t="shared" si="1"/>
        <v>26600.639999999999</v>
      </c>
      <c r="S18" s="322">
        <f t="shared" si="2"/>
        <v>26600.639999999999</v>
      </c>
      <c r="T18" s="322"/>
      <c r="U18" s="322"/>
      <c r="V18" s="322"/>
      <c r="W18" s="322">
        <f t="shared" si="7"/>
        <v>26600.639999999999</v>
      </c>
      <c r="X18" s="322"/>
      <c r="Y18" s="318">
        <f>(S18*7)+T18+U18+W18</f>
        <v>212805.12</v>
      </c>
      <c r="Z18" s="318">
        <f t="shared" si="3"/>
        <v>36708.883199999997</v>
      </c>
      <c r="AA18" s="318">
        <f t="shared" si="4"/>
        <v>249514.00319999998</v>
      </c>
    </row>
    <row r="19" spans="1:27">
      <c r="A19" s="317">
        <v>7</v>
      </c>
      <c r="B19" s="327" t="s">
        <v>384</v>
      </c>
      <c r="C19" s="318">
        <v>1</v>
      </c>
      <c r="D19" s="318">
        <v>7040</v>
      </c>
      <c r="E19" s="319">
        <v>2.29</v>
      </c>
      <c r="F19" s="320">
        <f t="shared" si="5"/>
        <v>16121.6</v>
      </c>
      <c r="G19" s="321">
        <v>0.1</v>
      </c>
      <c r="H19" s="322">
        <f t="shared" si="6"/>
        <v>1612.16</v>
      </c>
      <c r="I19" s="326"/>
      <c r="J19" s="324"/>
      <c r="K19" s="322"/>
      <c r="L19" s="325"/>
      <c r="M19" s="322"/>
      <c r="N19" s="321">
        <v>0.5</v>
      </c>
      <c r="O19" s="322">
        <f t="shared" si="0"/>
        <v>8060.8</v>
      </c>
      <c r="P19" s="324"/>
      <c r="Q19" s="322"/>
      <c r="R19" s="322">
        <f t="shared" si="1"/>
        <v>25794.560000000001</v>
      </c>
      <c r="S19" s="322">
        <f t="shared" si="2"/>
        <v>25794.560000000001</v>
      </c>
      <c r="T19" s="322">
        <f>S19</f>
        <v>25794.560000000001</v>
      </c>
      <c r="U19" s="322">
        <f>S19*2</f>
        <v>51589.120000000003</v>
      </c>
      <c r="V19" s="322"/>
      <c r="W19" s="322">
        <f t="shared" si="7"/>
        <v>25794.560000000001</v>
      </c>
      <c r="X19" s="322"/>
      <c r="Y19" s="318">
        <f>(S19*7)+T19+U19+W19</f>
        <v>283740.16000000003</v>
      </c>
      <c r="Z19" s="318">
        <f t="shared" si="3"/>
        <v>40046.054400000001</v>
      </c>
      <c r="AA19" s="318">
        <f t="shared" si="4"/>
        <v>323786.21440000006</v>
      </c>
    </row>
    <row r="20" spans="1:27">
      <c r="A20" s="317">
        <v>8</v>
      </c>
      <c r="B20" s="327" t="s">
        <v>384</v>
      </c>
      <c r="C20" s="318">
        <v>1</v>
      </c>
      <c r="D20" s="318">
        <v>7040</v>
      </c>
      <c r="E20" s="319">
        <v>2.29</v>
      </c>
      <c r="F20" s="320">
        <f t="shared" si="5"/>
        <v>16121.6</v>
      </c>
      <c r="G20" s="321">
        <v>0.1</v>
      </c>
      <c r="H20" s="322">
        <f t="shared" si="6"/>
        <v>1612.16</v>
      </c>
      <c r="I20" s="326"/>
      <c r="J20" s="324"/>
      <c r="K20" s="322"/>
      <c r="L20" s="325"/>
      <c r="M20" s="322"/>
      <c r="N20" s="321">
        <v>0.5</v>
      </c>
      <c r="O20" s="322">
        <f t="shared" si="0"/>
        <v>8060.8</v>
      </c>
      <c r="P20" s="324"/>
      <c r="Q20" s="322"/>
      <c r="R20" s="322">
        <f t="shared" si="1"/>
        <v>25794.560000000001</v>
      </c>
      <c r="S20" s="322">
        <f t="shared" si="2"/>
        <v>25794.560000000001</v>
      </c>
      <c r="T20" s="322"/>
      <c r="U20" s="322"/>
      <c r="V20" s="322"/>
      <c r="W20" s="322">
        <f t="shared" si="7"/>
        <v>25794.560000000001</v>
      </c>
      <c r="X20" s="322"/>
      <c r="Y20" s="318">
        <f>(S20*7)+T20+U20+W20</f>
        <v>206356.48000000001</v>
      </c>
      <c r="Z20" s="318">
        <f t="shared" si="3"/>
        <v>35596.4928</v>
      </c>
      <c r="AA20" s="318">
        <f t="shared" si="4"/>
        <v>241952.97280000002</v>
      </c>
    </row>
    <row r="21" spans="1:27">
      <c r="A21" s="317">
        <v>9</v>
      </c>
      <c r="B21" s="328" t="s">
        <v>385</v>
      </c>
      <c r="C21" s="329">
        <v>0.5</v>
      </c>
      <c r="D21" s="318">
        <v>7040</v>
      </c>
      <c r="E21" s="319">
        <v>2.29</v>
      </c>
      <c r="F21" s="320">
        <f>+D21*E21*C21</f>
        <v>8060.8</v>
      </c>
      <c r="G21" s="321">
        <v>0.05</v>
      </c>
      <c r="H21" s="322">
        <f t="shared" si="6"/>
        <v>403.04</v>
      </c>
      <c r="I21" s="326"/>
      <c r="J21" s="324"/>
      <c r="K21" s="322"/>
      <c r="L21" s="325"/>
      <c r="M21" s="322"/>
      <c r="N21" s="321">
        <v>0.5</v>
      </c>
      <c r="O21" s="322">
        <f t="shared" si="0"/>
        <v>4030.4</v>
      </c>
      <c r="P21" s="324"/>
      <c r="Q21" s="322"/>
      <c r="R21" s="322">
        <f t="shared" si="1"/>
        <v>12494.24</v>
      </c>
      <c r="S21" s="322">
        <f t="shared" si="2"/>
        <v>12494.24</v>
      </c>
      <c r="T21" s="322">
        <f>S21</f>
        <v>12494.24</v>
      </c>
      <c r="U21" s="322">
        <f t="shared" ref="U21" si="9">S21*2</f>
        <v>24988.48</v>
      </c>
      <c r="V21" s="322"/>
      <c r="W21" s="322">
        <f t="shared" si="7"/>
        <v>12494.24</v>
      </c>
      <c r="X21" s="322"/>
      <c r="Y21" s="318">
        <f t="shared" si="8"/>
        <v>137436.63999999998</v>
      </c>
      <c r="Z21" s="318">
        <f t="shared" si="3"/>
        <v>19397.3076</v>
      </c>
      <c r="AA21" s="318">
        <f t="shared" si="4"/>
        <v>156833.94759999998</v>
      </c>
    </row>
    <row r="22" spans="1:27" s="334" customFormat="1">
      <c r="A22" s="330"/>
      <c r="B22" s="331" t="s">
        <v>386</v>
      </c>
      <c r="C22" s="332"/>
      <c r="D22" s="333">
        <f>SUM(D13:D20)+D21</f>
        <v>63360</v>
      </c>
      <c r="E22" s="333"/>
      <c r="F22" s="333">
        <f>SUM(F13:F20)+F21</f>
        <v>162448</v>
      </c>
      <c r="G22" s="333"/>
      <c r="H22" s="333">
        <f t="shared" ref="H22:M22" si="10">SUM(H13:H20)+H21</f>
        <v>31477.599999999999</v>
      </c>
      <c r="I22" s="333">
        <f t="shared" si="10"/>
        <v>0</v>
      </c>
      <c r="J22" s="333">
        <f t="shared" si="10"/>
        <v>0</v>
      </c>
      <c r="K22" s="333">
        <f t="shared" si="10"/>
        <v>0</v>
      </c>
      <c r="L22" s="333">
        <f t="shared" si="10"/>
        <v>0</v>
      </c>
      <c r="M22" s="333">
        <f t="shared" si="10"/>
        <v>0</v>
      </c>
      <c r="N22" s="333"/>
      <c r="O22" s="333">
        <f t="shared" ref="O22:AA22" si="11">SUM(O13:O20)+O21</f>
        <v>81224</v>
      </c>
      <c r="P22" s="333">
        <f t="shared" si="11"/>
        <v>0</v>
      </c>
      <c r="Q22" s="333">
        <f t="shared" si="11"/>
        <v>0</v>
      </c>
      <c r="R22" s="333">
        <f t="shared" si="11"/>
        <v>275149.59999999998</v>
      </c>
      <c r="S22" s="333">
        <f t="shared" si="11"/>
        <v>275149.59999999998</v>
      </c>
      <c r="T22" s="333">
        <f t="shared" si="11"/>
        <v>130410.72</v>
      </c>
      <c r="U22" s="333">
        <f t="shared" si="11"/>
        <v>260821.44</v>
      </c>
      <c r="V22" s="333">
        <f t="shared" si="11"/>
        <v>0</v>
      </c>
      <c r="W22" s="333">
        <f t="shared" si="11"/>
        <v>275149.59999999998</v>
      </c>
      <c r="X22" s="333">
        <f t="shared" si="11"/>
        <v>0</v>
      </c>
      <c r="Y22" s="333">
        <f t="shared" si="11"/>
        <v>2592428.9600000004</v>
      </c>
      <c r="Z22" s="333">
        <f t="shared" si="11"/>
        <v>402202.29720000003</v>
      </c>
      <c r="AA22" s="333">
        <f t="shared" si="11"/>
        <v>2994631.2572000003</v>
      </c>
    </row>
    <row r="25" spans="1:27">
      <c r="B25" s="5" t="s">
        <v>111</v>
      </c>
    </row>
    <row r="27" spans="1:27" ht="57" customHeight="1">
      <c r="B27" s="495" t="s">
        <v>387</v>
      </c>
      <c r="C27" s="496"/>
      <c r="D27" s="496"/>
      <c r="E27" s="496"/>
      <c r="F27" s="496"/>
      <c r="G27" s="496"/>
      <c r="H27" s="496"/>
      <c r="I27" s="496"/>
      <c r="J27" s="496"/>
      <c r="K27" s="496"/>
      <c r="L27" s="496"/>
      <c r="M27" s="496"/>
      <c r="N27" s="496"/>
      <c r="O27" s="496"/>
    </row>
    <row r="28" spans="1:27">
      <c r="Y28" s="335"/>
      <c r="Z28" s="335"/>
    </row>
    <row r="29" spans="1:27">
      <c r="Y29" s="335"/>
      <c r="Z29" s="335"/>
      <c r="AA29" s="336"/>
    </row>
  </sheetData>
  <mergeCells count="24">
    <mergeCell ref="B27:O27"/>
    <mergeCell ref="Z9:Z10"/>
    <mergeCell ref="AA9:AA10"/>
    <mergeCell ref="G10:H10"/>
    <mergeCell ref="J10:K10"/>
    <mergeCell ref="L10:M10"/>
    <mergeCell ref="N10:O10"/>
    <mergeCell ref="P10:Q10"/>
    <mergeCell ref="T9:T10"/>
    <mergeCell ref="U9:U10"/>
    <mergeCell ref="V9:V10"/>
    <mergeCell ref="W9:W10"/>
    <mergeCell ref="X9:X10"/>
    <mergeCell ref="Y9:Y10"/>
    <mergeCell ref="A7:AA7"/>
    <mergeCell ref="A9:A11"/>
    <mergeCell ref="B9:B11"/>
    <mergeCell ref="C9:C11"/>
    <mergeCell ref="D9:D11"/>
    <mergeCell ref="E9:E11"/>
    <mergeCell ref="F9:F11"/>
    <mergeCell ref="G9:Q9"/>
    <mergeCell ref="R9:R10"/>
    <mergeCell ref="S9:S10"/>
  </mergeCells>
  <pageMargins left="0.39370078740157483" right="0.39370078740157483" top="0.39370078740157483" bottom="0.39370078740157483" header="0.31496062992125984" footer="0.31496062992125984"/>
  <pageSetup paperSize="9" scale="90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4"/>
  <sheetViews>
    <sheetView workbookViewId="0">
      <selection activeCell="D24" sqref="D24"/>
    </sheetView>
  </sheetViews>
  <sheetFormatPr defaultColWidth="9.140625" defaultRowHeight="12.75"/>
  <cols>
    <col min="1" max="1" width="3" bestFit="1" customWidth="1"/>
    <col min="2" max="2" width="34.28515625" customWidth="1"/>
    <col min="3" max="3" width="8.42578125" bestFit="1" customWidth="1"/>
    <col min="4" max="5" width="10.7109375" customWidth="1"/>
    <col min="6" max="6" width="13" hidden="1" customWidth="1"/>
    <col min="7" max="7" width="11.5703125" hidden="1" customWidth="1"/>
    <col min="8" max="8" width="9.42578125" hidden="1" customWidth="1"/>
    <col min="9" max="9" width="9" hidden="1" customWidth="1"/>
    <col min="10" max="10" width="42.28515625" customWidth="1"/>
    <col min="13" max="13" width="9.140625" style="169"/>
  </cols>
  <sheetData>
    <row r="1" spans="1:10">
      <c r="J1" s="168" t="s">
        <v>0</v>
      </c>
    </row>
    <row r="2" spans="1:10">
      <c r="J2" s="1" t="s">
        <v>228</v>
      </c>
    </row>
    <row r="3" spans="1:10">
      <c r="J3" s="168" t="s">
        <v>226</v>
      </c>
    </row>
    <row r="4" spans="1:10">
      <c r="J4" s="168" t="s">
        <v>227</v>
      </c>
    </row>
    <row r="5" spans="1:10">
      <c r="J5" s="57" t="s">
        <v>232</v>
      </c>
    </row>
    <row r="6" spans="1:10">
      <c r="J6" s="57"/>
    </row>
    <row r="7" spans="1:10" ht="27" customHeight="1">
      <c r="A7" s="508" t="s">
        <v>112</v>
      </c>
      <c r="B7" s="509"/>
      <c r="C7" s="509"/>
      <c r="D7" s="509"/>
      <c r="E7" s="509"/>
      <c r="F7" s="509"/>
      <c r="G7" s="509"/>
      <c r="H7" s="509"/>
      <c r="I7" s="509"/>
      <c r="J7" s="509"/>
    </row>
    <row r="8" spans="1:10" ht="39" customHeight="1">
      <c r="A8" s="170" t="s">
        <v>2</v>
      </c>
      <c r="B8" s="170" t="s">
        <v>25</v>
      </c>
      <c r="C8" s="170" t="s">
        <v>113</v>
      </c>
      <c r="D8" s="171" t="s">
        <v>236</v>
      </c>
      <c r="E8" s="171" t="s">
        <v>235</v>
      </c>
      <c r="F8" s="171" t="s">
        <v>256</v>
      </c>
      <c r="G8" s="171" t="s">
        <v>257</v>
      </c>
      <c r="H8" s="171" t="s">
        <v>234</v>
      </c>
      <c r="I8" s="171" t="s">
        <v>90</v>
      </c>
      <c r="J8" s="170" t="s">
        <v>114</v>
      </c>
    </row>
    <row r="9" spans="1:10">
      <c r="A9" s="172">
        <v>1</v>
      </c>
      <c r="B9" s="172">
        <v>2</v>
      </c>
      <c r="C9" s="172">
        <v>3</v>
      </c>
      <c r="D9" s="172">
        <v>4</v>
      </c>
      <c r="E9" s="172">
        <v>5</v>
      </c>
      <c r="F9" s="172">
        <v>6</v>
      </c>
      <c r="G9" s="172">
        <v>7</v>
      </c>
      <c r="H9" s="172">
        <v>8</v>
      </c>
      <c r="I9" s="172">
        <v>9</v>
      </c>
      <c r="J9" s="172">
        <v>10</v>
      </c>
    </row>
    <row r="10" spans="1:10">
      <c r="A10" s="510"/>
      <c r="B10" s="510" t="s">
        <v>115</v>
      </c>
      <c r="C10" s="173">
        <v>2222</v>
      </c>
      <c r="D10" s="174">
        <v>3.5</v>
      </c>
      <c r="E10" s="174"/>
      <c r="F10" s="174"/>
      <c r="G10" s="175"/>
      <c r="H10" s="174"/>
      <c r="I10" s="175"/>
      <c r="J10" s="507" t="s">
        <v>254</v>
      </c>
    </row>
    <row r="11" spans="1:10">
      <c r="A11" s="503"/>
      <c r="B11" s="503"/>
      <c r="C11" s="173">
        <v>3112</v>
      </c>
      <c r="D11" s="174">
        <v>10.1</v>
      </c>
      <c r="E11" s="174"/>
      <c r="F11" s="174"/>
      <c r="G11" s="175"/>
      <c r="H11" s="174"/>
      <c r="I11" s="175"/>
      <c r="J11" s="506"/>
    </row>
    <row r="12" spans="1:10">
      <c r="A12" s="503"/>
      <c r="B12" s="503"/>
      <c r="C12" s="173">
        <v>2111</v>
      </c>
      <c r="D12" s="174">
        <v>55.3</v>
      </c>
      <c r="E12" s="174"/>
      <c r="F12" s="174"/>
      <c r="G12" s="175"/>
      <c r="H12" s="174"/>
      <c r="I12" s="175"/>
      <c r="J12" s="507" t="s">
        <v>260</v>
      </c>
    </row>
    <row r="13" spans="1:10">
      <c r="A13" s="503"/>
      <c r="B13" s="503"/>
      <c r="C13" s="173">
        <v>2121</v>
      </c>
      <c r="D13" s="174">
        <v>9.5</v>
      </c>
      <c r="E13" s="174"/>
      <c r="F13" s="174"/>
      <c r="G13" s="175"/>
      <c r="H13" s="174"/>
      <c r="I13" s="175"/>
      <c r="J13" s="506"/>
    </row>
    <row r="14" spans="1:10">
      <c r="A14" s="503"/>
      <c r="B14" s="503"/>
      <c r="C14" s="173">
        <v>2111</v>
      </c>
      <c r="D14" s="174"/>
      <c r="E14" s="174">
        <v>214.1</v>
      </c>
      <c r="F14" s="174"/>
      <c r="G14" s="175"/>
      <c r="H14" s="174"/>
      <c r="I14" s="175"/>
      <c r="J14" s="507" t="s">
        <v>259</v>
      </c>
    </row>
    <row r="15" spans="1:10">
      <c r="A15" s="503"/>
      <c r="B15" s="503"/>
      <c r="C15" s="173">
        <v>2121</v>
      </c>
      <c r="D15" s="174"/>
      <c r="E15" s="174">
        <v>29.7</v>
      </c>
      <c r="F15" s="174"/>
      <c r="G15" s="174"/>
      <c r="H15" s="174"/>
      <c r="I15" s="174"/>
      <c r="J15" s="506"/>
    </row>
    <row r="16" spans="1:10" ht="13.5" thickBot="1">
      <c r="A16" s="511"/>
      <c r="B16" s="511"/>
      <c r="C16" s="176">
        <v>2215</v>
      </c>
      <c r="D16" s="177"/>
      <c r="E16" s="177">
        <v>5.5</v>
      </c>
      <c r="F16" s="177"/>
      <c r="G16" s="178"/>
      <c r="H16" s="177"/>
      <c r="I16" s="178"/>
      <c r="J16" s="179" t="s">
        <v>258</v>
      </c>
    </row>
    <row r="17" spans="1:13">
      <c r="A17" s="503"/>
      <c r="B17" s="503" t="s">
        <v>23</v>
      </c>
      <c r="C17" s="173">
        <v>2215</v>
      </c>
      <c r="D17" s="174">
        <v>3.4</v>
      </c>
      <c r="E17" s="174"/>
      <c r="F17" s="174"/>
      <c r="G17" s="174"/>
      <c r="H17" s="174"/>
      <c r="I17" s="174"/>
      <c r="J17" s="507" t="s">
        <v>254</v>
      </c>
      <c r="K17" s="180"/>
      <c r="L17" s="180"/>
      <c r="M17" s="181"/>
    </row>
    <row r="18" spans="1:13">
      <c r="A18" s="503"/>
      <c r="B18" s="503"/>
      <c r="C18" s="173">
        <v>2218</v>
      </c>
      <c r="D18" s="174">
        <v>33.5</v>
      </c>
      <c r="E18" s="174"/>
      <c r="F18" s="174"/>
      <c r="G18" s="174"/>
      <c r="H18" s="174"/>
      <c r="I18" s="174"/>
      <c r="J18" s="506"/>
      <c r="K18" s="180"/>
      <c r="L18" s="180"/>
      <c r="M18" s="181"/>
    </row>
    <row r="19" spans="1:13" s="185" customFormat="1" ht="13.5" thickBot="1">
      <c r="A19" s="503"/>
      <c r="B19" s="503"/>
      <c r="C19" s="182">
        <v>2215</v>
      </c>
      <c r="D19" s="183"/>
      <c r="E19" s="183">
        <v>8.4</v>
      </c>
      <c r="F19" s="183"/>
      <c r="G19" s="184"/>
      <c r="H19" s="183"/>
      <c r="I19" s="184"/>
      <c r="J19" s="179" t="s">
        <v>258</v>
      </c>
      <c r="M19" s="186"/>
    </row>
    <row r="20" spans="1:13" s="185" customFormat="1" ht="13.5" thickBot="1">
      <c r="A20" s="187"/>
      <c r="B20" s="187" t="s">
        <v>126</v>
      </c>
      <c r="C20" s="188">
        <v>2215</v>
      </c>
      <c r="D20" s="189"/>
      <c r="E20" s="189">
        <v>8.4</v>
      </c>
      <c r="F20" s="189"/>
      <c r="G20" s="190"/>
      <c r="H20" s="189"/>
      <c r="I20" s="190"/>
      <c r="J20" s="179" t="s">
        <v>258</v>
      </c>
      <c r="M20" s="186"/>
    </row>
    <row r="21" spans="1:13" s="185" customFormat="1" ht="13.5" hidden="1" thickBot="1">
      <c r="A21" s="187"/>
      <c r="B21" s="187" t="s">
        <v>117</v>
      </c>
      <c r="C21" s="188"/>
      <c r="D21" s="189"/>
      <c r="E21" s="189"/>
      <c r="F21" s="189"/>
      <c r="G21" s="189"/>
      <c r="H21" s="189"/>
      <c r="I21" s="190"/>
      <c r="J21" s="191"/>
      <c r="M21" s="186"/>
    </row>
    <row r="22" spans="1:13" s="185" customFormat="1" ht="25.5">
      <c r="A22" s="512"/>
      <c r="B22" s="512" t="s">
        <v>19</v>
      </c>
      <c r="C22" s="188">
        <v>2215</v>
      </c>
      <c r="D22" s="189">
        <v>50.1</v>
      </c>
      <c r="E22" s="189"/>
      <c r="F22" s="189"/>
      <c r="G22" s="190"/>
      <c r="H22" s="189"/>
      <c r="I22" s="190"/>
      <c r="J22" s="192" t="s">
        <v>254</v>
      </c>
      <c r="M22" s="186"/>
    </row>
    <row r="23" spans="1:13" s="185" customFormat="1" ht="13.5" thickBot="1">
      <c r="A23" s="503"/>
      <c r="B23" s="503"/>
      <c r="C23" s="173">
        <v>2215</v>
      </c>
      <c r="D23" s="174"/>
      <c r="E23" s="174">
        <v>7.5</v>
      </c>
      <c r="F23" s="174"/>
      <c r="G23" s="175"/>
      <c r="H23" s="174"/>
      <c r="I23" s="175"/>
      <c r="J23" s="179" t="s">
        <v>258</v>
      </c>
      <c r="M23" s="186"/>
    </row>
    <row r="24" spans="1:13" s="185" customFormat="1" ht="26.25" thickBot="1">
      <c r="A24" s="193"/>
      <c r="B24" s="193" t="s">
        <v>121</v>
      </c>
      <c r="C24" s="194">
        <v>2215</v>
      </c>
      <c r="D24" s="195">
        <v>12.2</v>
      </c>
      <c r="E24" s="195"/>
      <c r="F24" s="195"/>
      <c r="G24" s="196"/>
      <c r="H24" s="195"/>
      <c r="I24" s="196"/>
      <c r="J24" s="197" t="s">
        <v>254</v>
      </c>
      <c r="M24" s="186"/>
    </row>
    <row r="25" spans="1:13" s="185" customFormat="1">
      <c r="A25" s="503"/>
      <c r="B25" s="503" t="s">
        <v>123</v>
      </c>
      <c r="C25" s="182">
        <v>2214</v>
      </c>
      <c r="D25" s="183">
        <v>7.5</v>
      </c>
      <c r="E25" s="183"/>
      <c r="F25" s="183"/>
      <c r="G25" s="183"/>
      <c r="H25" s="183"/>
      <c r="I25" s="184"/>
      <c r="J25" s="504" t="s">
        <v>254</v>
      </c>
      <c r="M25" s="186"/>
    </row>
    <row r="26" spans="1:13" s="185" customFormat="1">
      <c r="A26" s="503"/>
      <c r="B26" s="503"/>
      <c r="C26" s="173">
        <v>2215</v>
      </c>
      <c r="D26" s="174">
        <v>23.7</v>
      </c>
      <c r="E26" s="174"/>
      <c r="F26" s="174"/>
      <c r="G26" s="174"/>
      <c r="H26" s="174"/>
      <c r="I26" s="175"/>
      <c r="J26" s="505"/>
      <c r="M26" s="186"/>
    </row>
    <row r="27" spans="1:13" s="185" customFormat="1">
      <c r="A27" s="503"/>
      <c r="B27" s="503"/>
      <c r="C27" s="173">
        <v>2218</v>
      </c>
      <c r="D27" s="174">
        <v>3.6</v>
      </c>
      <c r="E27" s="174"/>
      <c r="F27" s="174"/>
      <c r="G27" s="174"/>
      <c r="H27" s="174"/>
      <c r="I27" s="175"/>
      <c r="J27" s="505"/>
      <c r="M27" s="186"/>
    </row>
    <row r="28" spans="1:13" s="185" customFormat="1">
      <c r="A28" s="503"/>
      <c r="B28" s="503"/>
      <c r="C28" s="173">
        <v>2222</v>
      </c>
      <c r="D28" s="174">
        <v>70</v>
      </c>
      <c r="E28" s="174"/>
      <c r="F28" s="174"/>
      <c r="G28" s="174"/>
      <c r="H28" s="174"/>
      <c r="I28" s="175"/>
      <c r="J28" s="505"/>
      <c r="M28" s="186"/>
    </row>
    <row r="29" spans="1:13" s="185" customFormat="1">
      <c r="A29" s="503"/>
      <c r="B29" s="503"/>
      <c r="C29" s="173">
        <v>3112</v>
      </c>
      <c r="D29" s="174">
        <v>9.6999999999999993</v>
      </c>
      <c r="E29" s="174"/>
      <c r="F29" s="174"/>
      <c r="G29" s="174"/>
      <c r="H29" s="174"/>
      <c r="I29" s="175"/>
      <c r="J29" s="506"/>
      <c r="M29" s="186"/>
    </row>
    <row r="30" spans="1:13" s="185" customFormat="1">
      <c r="A30" s="503"/>
      <c r="B30" s="503"/>
      <c r="C30" s="173">
        <v>2111</v>
      </c>
      <c r="D30" s="174"/>
      <c r="E30" s="174">
        <v>145.30000000000001</v>
      </c>
      <c r="F30" s="174"/>
      <c r="G30" s="174"/>
      <c r="H30" s="174"/>
      <c r="I30" s="175"/>
      <c r="J30" s="507" t="s">
        <v>253</v>
      </c>
      <c r="M30" s="186"/>
    </row>
    <row r="31" spans="1:13" s="185" customFormat="1">
      <c r="A31" s="503"/>
      <c r="B31" s="503"/>
      <c r="C31" s="173">
        <v>2121</v>
      </c>
      <c r="D31" s="174"/>
      <c r="E31" s="174">
        <v>21.7</v>
      </c>
      <c r="F31" s="174"/>
      <c r="G31" s="174"/>
      <c r="H31" s="174"/>
      <c r="I31" s="175"/>
      <c r="J31" s="506"/>
      <c r="M31" s="186"/>
    </row>
    <row r="32" spans="1:13" s="185" customFormat="1">
      <c r="A32" s="503"/>
      <c r="B32" s="503"/>
      <c r="C32" s="173">
        <v>2215</v>
      </c>
      <c r="D32" s="174"/>
      <c r="E32" s="174">
        <v>99</v>
      </c>
      <c r="F32" s="174"/>
      <c r="G32" s="174"/>
      <c r="H32" s="174"/>
      <c r="I32" s="175"/>
      <c r="J32" s="198" t="s">
        <v>251</v>
      </c>
      <c r="M32" s="186"/>
    </row>
    <row r="33" spans="1:13" s="185" customFormat="1">
      <c r="A33" s="503"/>
      <c r="B33" s="503"/>
      <c r="C33" s="173">
        <v>2222</v>
      </c>
      <c r="D33" s="174"/>
      <c r="E33" s="174">
        <v>27.2</v>
      </c>
      <c r="F33" s="174"/>
      <c r="G33" s="174"/>
      <c r="H33" s="174"/>
      <c r="I33" s="175"/>
      <c r="J33" s="198" t="s">
        <v>255</v>
      </c>
      <c r="M33" s="186"/>
    </row>
    <row r="34" spans="1:13" s="185" customFormat="1" ht="13.5" thickBot="1">
      <c r="A34" s="503"/>
      <c r="B34" s="503"/>
      <c r="C34" s="173">
        <v>2222</v>
      </c>
      <c r="D34" s="174"/>
      <c r="E34" s="174">
        <v>15</v>
      </c>
      <c r="F34" s="174"/>
      <c r="G34" s="174"/>
      <c r="H34" s="174"/>
      <c r="I34" s="175"/>
      <c r="J34" s="198" t="s">
        <v>252</v>
      </c>
      <c r="M34" s="186"/>
    </row>
    <row r="35" spans="1:13" ht="26.25" hidden="1" thickBot="1">
      <c r="A35" s="199"/>
      <c r="B35" s="200" t="s">
        <v>188</v>
      </c>
      <c r="C35" s="176"/>
      <c r="D35" s="160"/>
      <c r="E35" s="160"/>
      <c r="F35" s="177"/>
      <c r="G35" s="201"/>
      <c r="H35" s="177"/>
      <c r="I35" s="201"/>
      <c r="J35" s="202"/>
    </row>
    <row r="36" spans="1:13">
      <c r="A36" s="512"/>
      <c r="B36" s="518" t="s">
        <v>18</v>
      </c>
      <c r="C36" s="188">
        <v>2214</v>
      </c>
      <c r="D36" s="189">
        <v>38</v>
      </c>
      <c r="E36" s="189"/>
      <c r="F36" s="189"/>
      <c r="G36" s="203"/>
      <c r="H36" s="189"/>
      <c r="I36" s="203"/>
      <c r="J36" s="504" t="s">
        <v>254</v>
      </c>
    </row>
    <row r="37" spans="1:13">
      <c r="A37" s="516"/>
      <c r="B37" s="519"/>
      <c r="C37" s="173">
        <v>2222</v>
      </c>
      <c r="D37" s="174">
        <v>23.5</v>
      </c>
      <c r="E37" s="174"/>
      <c r="F37" s="174"/>
      <c r="G37" s="204"/>
      <c r="H37" s="174"/>
      <c r="I37" s="204"/>
      <c r="J37" s="505"/>
    </row>
    <row r="38" spans="1:13">
      <c r="A38" s="516"/>
      <c r="B38" s="519"/>
      <c r="C38" s="173">
        <v>2223</v>
      </c>
      <c r="D38" s="174">
        <v>1.4</v>
      </c>
      <c r="E38" s="174"/>
      <c r="F38" s="174"/>
      <c r="G38" s="204"/>
      <c r="H38" s="174"/>
      <c r="I38" s="204"/>
      <c r="J38" s="505"/>
    </row>
    <row r="39" spans="1:13">
      <c r="A39" s="516"/>
      <c r="B39" s="519"/>
      <c r="C39" s="173">
        <v>3112</v>
      </c>
      <c r="D39" s="174">
        <v>3.7</v>
      </c>
      <c r="E39" s="174"/>
      <c r="F39" s="174"/>
      <c r="G39" s="204"/>
      <c r="H39" s="174"/>
      <c r="I39" s="204"/>
      <c r="J39" s="505"/>
    </row>
    <row r="40" spans="1:13">
      <c r="A40" s="516"/>
      <c r="B40" s="519"/>
      <c r="C40" s="173">
        <v>3113</v>
      </c>
      <c r="D40" s="174">
        <v>179.5</v>
      </c>
      <c r="E40" s="174"/>
      <c r="F40" s="174"/>
      <c r="G40" s="204"/>
      <c r="H40" s="174"/>
      <c r="I40" s="204"/>
      <c r="J40" s="505"/>
    </row>
    <row r="41" spans="1:13">
      <c r="A41" s="516"/>
      <c r="B41" s="519"/>
      <c r="C41" s="173">
        <v>3111</v>
      </c>
      <c r="D41" s="174">
        <v>3</v>
      </c>
      <c r="E41" s="174"/>
      <c r="F41" s="174"/>
      <c r="G41" s="204"/>
      <c r="H41" s="174"/>
      <c r="I41" s="204"/>
      <c r="J41" s="505"/>
    </row>
    <row r="42" spans="1:13">
      <c r="A42" s="510"/>
      <c r="B42" s="520"/>
      <c r="C42" s="173">
        <v>2215</v>
      </c>
      <c r="D42" s="174">
        <v>83</v>
      </c>
      <c r="E42" s="205"/>
      <c r="F42" s="205"/>
      <c r="G42" s="206"/>
      <c r="H42" s="205"/>
      <c r="I42" s="206"/>
      <c r="J42" s="505"/>
    </row>
    <row r="43" spans="1:13">
      <c r="A43" s="510"/>
      <c r="B43" s="520"/>
      <c r="C43" s="182">
        <v>2111</v>
      </c>
      <c r="D43" s="183"/>
      <c r="E43" s="205">
        <v>99.7</v>
      </c>
      <c r="F43" s="205"/>
      <c r="G43" s="206"/>
      <c r="H43" s="205"/>
      <c r="I43" s="206"/>
      <c r="J43" s="507" t="s">
        <v>261</v>
      </c>
    </row>
    <row r="44" spans="1:13">
      <c r="A44" s="510"/>
      <c r="B44" s="520"/>
      <c r="C44" s="207">
        <v>2121</v>
      </c>
      <c r="D44" s="205"/>
      <c r="E44" s="205">
        <v>17.2</v>
      </c>
      <c r="F44" s="205"/>
      <c r="G44" s="206"/>
      <c r="H44" s="205"/>
      <c r="I44" s="206"/>
      <c r="J44" s="506"/>
    </row>
    <row r="45" spans="1:13" ht="25.5">
      <c r="A45" s="510"/>
      <c r="B45" s="520"/>
      <c r="C45" s="207">
        <v>2222</v>
      </c>
      <c r="D45" s="205"/>
      <c r="E45" s="205">
        <v>745</v>
      </c>
      <c r="F45" s="205"/>
      <c r="G45" s="206"/>
      <c r="H45" s="205"/>
      <c r="I45" s="206"/>
      <c r="J45" s="198" t="s">
        <v>243</v>
      </c>
    </row>
    <row r="46" spans="1:13" ht="26.25" thickBot="1">
      <c r="A46" s="517"/>
      <c r="B46" s="521"/>
      <c r="C46" s="208">
        <v>3113</v>
      </c>
      <c r="D46" s="209"/>
      <c r="E46" s="209">
        <v>119</v>
      </c>
      <c r="F46" s="209"/>
      <c r="G46" s="210"/>
      <c r="H46" s="209"/>
      <c r="I46" s="210"/>
      <c r="J46" s="179" t="s">
        <v>244</v>
      </c>
      <c r="K46" s="180"/>
      <c r="L46" s="180"/>
      <c r="M46" s="181"/>
    </row>
    <row r="47" spans="1:13">
      <c r="A47" s="512"/>
      <c r="B47" s="518" t="s">
        <v>116</v>
      </c>
      <c r="C47" s="188">
        <v>2214</v>
      </c>
      <c r="D47" s="189">
        <v>554.5</v>
      </c>
      <c r="E47" s="189"/>
      <c r="F47" s="189"/>
      <c r="G47" s="203"/>
      <c r="H47" s="189"/>
      <c r="I47" s="203"/>
      <c r="J47" s="504" t="s">
        <v>254</v>
      </c>
    </row>
    <row r="48" spans="1:13" ht="13.5" thickBot="1">
      <c r="A48" s="510"/>
      <c r="B48" s="520"/>
      <c r="C48" s="173">
        <v>2222</v>
      </c>
      <c r="D48" s="174">
        <v>124.8</v>
      </c>
      <c r="E48" s="174"/>
      <c r="F48" s="205"/>
      <c r="G48" s="206"/>
      <c r="H48" s="205"/>
      <c r="I48" s="206"/>
      <c r="J48" s="506"/>
    </row>
    <row r="49" spans="1:13" ht="26.25" thickBot="1">
      <c r="A49" s="193"/>
      <c r="B49" s="211" t="s">
        <v>240</v>
      </c>
      <c r="C49" s="194">
        <v>2215</v>
      </c>
      <c r="D49" s="195">
        <v>0.4</v>
      </c>
      <c r="E49" s="195"/>
      <c r="F49" s="195"/>
      <c r="G49" s="212"/>
      <c r="H49" s="195"/>
      <c r="I49" s="212"/>
      <c r="J49" s="197" t="s">
        <v>254</v>
      </c>
      <c r="K49" s="180"/>
      <c r="L49" s="213"/>
      <c r="M49" s="214"/>
    </row>
    <row r="50" spans="1:13">
      <c r="A50" s="503"/>
      <c r="B50" s="522" t="s">
        <v>149</v>
      </c>
      <c r="C50" s="188">
        <v>2214</v>
      </c>
      <c r="D50" s="189">
        <v>183</v>
      </c>
      <c r="E50" s="189"/>
      <c r="F50" s="189"/>
      <c r="G50" s="203"/>
      <c r="H50" s="189"/>
      <c r="I50" s="203"/>
      <c r="J50" s="504" t="s">
        <v>254</v>
      </c>
    </row>
    <row r="51" spans="1:13">
      <c r="A51" s="503"/>
      <c r="B51" s="522"/>
      <c r="C51" s="173">
        <v>2215</v>
      </c>
      <c r="D51" s="174">
        <v>66.400000000000006</v>
      </c>
      <c r="E51" s="174"/>
      <c r="F51" s="174"/>
      <c r="G51" s="204"/>
      <c r="H51" s="174"/>
      <c r="I51" s="204"/>
      <c r="J51" s="505"/>
    </row>
    <row r="52" spans="1:13">
      <c r="A52" s="503"/>
      <c r="B52" s="522"/>
      <c r="C52" s="173">
        <v>2222</v>
      </c>
      <c r="D52" s="174">
        <v>449.7</v>
      </c>
      <c r="E52" s="174"/>
      <c r="F52" s="174"/>
      <c r="G52" s="204"/>
      <c r="H52" s="174"/>
      <c r="I52" s="204"/>
      <c r="J52" s="505"/>
    </row>
    <row r="53" spans="1:13">
      <c r="A53" s="503"/>
      <c r="B53" s="522"/>
      <c r="C53" s="207">
        <v>2223</v>
      </c>
      <c r="D53" s="205">
        <v>57.4</v>
      </c>
      <c r="E53" s="205"/>
      <c r="F53" s="205"/>
      <c r="G53" s="206"/>
      <c r="H53" s="205"/>
      <c r="I53" s="206"/>
      <c r="J53" s="505"/>
      <c r="K53" s="180"/>
      <c r="L53" s="180"/>
      <c r="M53" s="181"/>
    </row>
    <row r="54" spans="1:13">
      <c r="A54" s="503"/>
      <c r="B54" s="522"/>
      <c r="C54" s="207">
        <v>3112</v>
      </c>
      <c r="D54" s="205">
        <v>26</v>
      </c>
      <c r="E54" s="205"/>
      <c r="F54" s="205"/>
      <c r="G54" s="206"/>
      <c r="H54" s="205"/>
      <c r="I54" s="206"/>
      <c r="J54" s="505"/>
      <c r="K54" s="180"/>
      <c r="L54" s="180"/>
      <c r="M54" s="181"/>
    </row>
    <row r="55" spans="1:13" ht="13.5" thickBot="1">
      <c r="A55" s="511"/>
      <c r="B55" s="523"/>
      <c r="C55" s="208">
        <v>3122</v>
      </c>
      <c r="D55" s="209">
        <v>2460.3000000000002</v>
      </c>
      <c r="E55" s="209"/>
      <c r="F55" s="209"/>
      <c r="G55" s="210"/>
      <c r="H55" s="209"/>
      <c r="I55" s="210"/>
      <c r="J55" s="524"/>
      <c r="K55" s="180"/>
      <c r="L55" s="180"/>
      <c r="M55" s="181"/>
    </row>
    <row r="56" spans="1:13" ht="13.5" thickBot="1">
      <c r="A56" s="215"/>
      <c r="B56" s="216" t="s">
        <v>150</v>
      </c>
      <c r="C56" s="176">
        <v>2511</v>
      </c>
      <c r="D56" s="177"/>
      <c r="E56" s="177">
        <v>2500</v>
      </c>
      <c r="F56" s="177"/>
      <c r="G56" s="201"/>
      <c r="H56" s="177"/>
      <c r="I56" s="201"/>
      <c r="J56" s="202" t="s">
        <v>245</v>
      </c>
      <c r="K56" s="180"/>
      <c r="L56" s="180"/>
      <c r="M56" s="181"/>
    </row>
    <row r="57" spans="1:13" ht="13.5" hidden="1" thickBot="1">
      <c r="A57" s="513"/>
      <c r="B57" s="525" t="s">
        <v>133</v>
      </c>
      <c r="C57" s="217"/>
      <c r="D57" s="218"/>
      <c r="E57" s="218"/>
      <c r="F57" s="218"/>
      <c r="G57" s="219"/>
      <c r="H57" s="218"/>
      <c r="I57" s="219"/>
      <c r="J57" s="192"/>
      <c r="L57" s="213"/>
    </row>
    <row r="58" spans="1:13" ht="13.5" hidden="1" thickBot="1">
      <c r="A58" s="511"/>
      <c r="B58" s="523"/>
      <c r="C58" s="207"/>
      <c r="D58" s="205"/>
      <c r="E58" s="205"/>
      <c r="F58" s="205"/>
      <c r="G58" s="206"/>
      <c r="H58" s="205"/>
      <c r="I58" s="206"/>
      <c r="J58" s="220"/>
      <c r="L58" s="213"/>
    </row>
    <row r="59" spans="1:13">
      <c r="A59" s="513"/>
      <c r="B59" s="513" t="s">
        <v>16</v>
      </c>
      <c r="C59" s="173">
        <v>2214</v>
      </c>
      <c r="D59" s="174">
        <v>6.5</v>
      </c>
      <c r="E59" s="174"/>
      <c r="F59" s="174"/>
      <c r="G59" s="204"/>
      <c r="H59" s="174"/>
      <c r="I59" s="204"/>
      <c r="J59" s="514" t="s">
        <v>254</v>
      </c>
    </row>
    <row r="60" spans="1:13">
      <c r="A60" s="503"/>
      <c r="B60" s="503"/>
      <c r="C60" s="173">
        <v>2215</v>
      </c>
      <c r="D60" s="174">
        <v>80.5</v>
      </c>
      <c r="E60" s="174"/>
      <c r="F60" s="174"/>
      <c r="G60" s="204"/>
      <c r="H60" s="174"/>
      <c r="I60" s="204"/>
      <c r="J60" s="514"/>
    </row>
    <row r="61" spans="1:13">
      <c r="A61" s="503"/>
      <c r="B61" s="503"/>
      <c r="C61" s="173">
        <v>2222</v>
      </c>
      <c r="D61" s="174">
        <v>2.6</v>
      </c>
      <c r="E61" s="174"/>
      <c r="F61" s="174"/>
      <c r="G61" s="204"/>
      <c r="H61" s="174"/>
      <c r="I61" s="204"/>
      <c r="J61" s="514"/>
    </row>
    <row r="62" spans="1:13" ht="13.5" thickBot="1">
      <c r="A62" s="511"/>
      <c r="B62" s="511"/>
      <c r="C62" s="208">
        <v>3111</v>
      </c>
      <c r="D62" s="209">
        <v>4970.3999999999996</v>
      </c>
      <c r="E62" s="209"/>
      <c r="F62" s="209"/>
      <c r="G62" s="210"/>
      <c r="H62" s="209"/>
      <c r="I62" s="210"/>
      <c r="J62" s="515"/>
    </row>
    <row r="63" spans="1:13">
      <c r="A63" s="526"/>
      <c r="B63" s="526" t="s">
        <v>17</v>
      </c>
      <c r="C63" s="182">
        <v>2214</v>
      </c>
      <c r="D63" s="183">
        <v>34.9</v>
      </c>
      <c r="E63" s="183"/>
      <c r="F63" s="183"/>
      <c r="G63" s="221"/>
      <c r="H63" s="183"/>
      <c r="I63" s="221"/>
      <c r="J63" s="505" t="s">
        <v>254</v>
      </c>
    </row>
    <row r="64" spans="1:13">
      <c r="A64" s="516"/>
      <c r="B64" s="516"/>
      <c r="C64" s="173">
        <v>2215</v>
      </c>
      <c r="D64" s="174">
        <v>83.1</v>
      </c>
      <c r="E64" s="174"/>
      <c r="F64" s="174"/>
      <c r="G64" s="204"/>
      <c r="H64" s="174"/>
      <c r="I64" s="204"/>
      <c r="J64" s="505"/>
    </row>
    <row r="65" spans="1:13">
      <c r="A65" s="516"/>
      <c r="B65" s="516"/>
      <c r="C65" s="173">
        <v>2221</v>
      </c>
      <c r="D65" s="174">
        <v>18.2</v>
      </c>
      <c r="E65" s="174"/>
      <c r="F65" s="174"/>
      <c r="G65" s="204"/>
      <c r="H65" s="174"/>
      <c r="I65" s="204"/>
      <c r="J65" s="505"/>
    </row>
    <row r="66" spans="1:13">
      <c r="A66" s="516"/>
      <c r="B66" s="516"/>
      <c r="C66" s="173">
        <v>2222</v>
      </c>
      <c r="D66" s="174">
        <v>594.6</v>
      </c>
      <c r="E66" s="174"/>
      <c r="F66" s="174"/>
      <c r="G66" s="204"/>
      <c r="H66" s="174"/>
      <c r="I66" s="204"/>
      <c r="J66" s="505"/>
    </row>
    <row r="67" spans="1:13">
      <c r="A67" s="516"/>
      <c r="B67" s="516"/>
      <c r="C67" s="173">
        <v>3112</v>
      </c>
      <c r="D67" s="174">
        <v>202.1</v>
      </c>
      <c r="E67" s="174"/>
      <c r="F67" s="174"/>
      <c r="G67" s="204"/>
      <c r="H67" s="174"/>
      <c r="I67" s="204"/>
      <c r="J67" s="506"/>
    </row>
    <row r="68" spans="1:13" ht="13.5" thickBot="1">
      <c r="A68" s="516"/>
      <c r="B68" s="516"/>
      <c r="C68" s="173">
        <v>2222</v>
      </c>
      <c r="D68" s="174"/>
      <c r="E68" s="174">
        <v>150</v>
      </c>
      <c r="F68" s="174"/>
      <c r="G68" s="174"/>
      <c r="H68" s="174"/>
      <c r="I68" s="204"/>
      <c r="J68" s="198" t="s">
        <v>239</v>
      </c>
    </row>
    <row r="69" spans="1:13">
      <c r="A69" s="513"/>
      <c r="B69" s="513" t="s">
        <v>28</v>
      </c>
      <c r="C69" s="188">
        <v>2111</v>
      </c>
      <c r="D69" s="189">
        <v>164.4</v>
      </c>
      <c r="E69" s="189"/>
      <c r="F69" s="189"/>
      <c r="G69" s="203"/>
      <c r="H69" s="189"/>
      <c r="I69" s="203"/>
      <c r="J69" s="504" t="s">
        <v>254</v>
      </c>
    </row>
    <row r="70" spans="1:13">
      <c r="A70" s="503"/>
      <c r="B70" s="503"/>
      <c r="C70" s="173">
        <v>2121</v>
      </c>
      <c r="D70" s="174">
        <v>28.4</v>
      </c>
      <c r="E70" s="174"/>
      <c r="F70" s="174"/>
      <c r="G70" s="204"/>
      <c r="H70" s="174"/>
      <c r="I70" s="204"/>
      <c r="J70" s="505"/>
    </row>
    <row r="71" spans="1:13">
      <c r="A71" s="503"/>
      <c r="B71" s="503"/>
      <c r="C71" s="173">
        <v>2214</v>
      </c>
      <c r="D71" s="174">
        <v>1.9</v>
      </c>
      <c r="E71" s="174"/>
      <c r="F71" s="174"/>
      <c r="G71" s="204"/>
      <c r="H71" s="174"/>
      <c r="I71" s="204"/>
      <c r="J71" s="505"/>
    </row>
    <row r="72" spans="1:13">
      <c r="A72" s="503"/>
      <c r="B72" s="503"/>
      <c r="C72" s="173">
        <v>2215</v>
      </c>
      <c r="D72" s="174">
        <f>5+6+17.8+0.5+7.5+4</f>
        <v>40.799999999999997</v>
      </c>
      <c r="E72" s="174"/>
      <c r="F72" s="174"/>
      <c r="G72" s="204"/>
      <c r="H72" s="174"/>
      <c r="I72" s="204"/>
      <c r="J72" s="505"/>
    </row>
    <row r="73" spans="1:13">
      <c r="A73" s="503"/>
      <c r="B73" s="503"/>
      <c r="C73" s="173">
        <v>2222</v>
      </c>
      <c r="D73" s="174">
        <v>28.8</v>
      </c>
      <c r="E73" s="174"/>
      <c r="F73" s="174"/>
      <c r="G73" s="204"/>
      <c r="H73" s="174"/>
      <c r="I73" s="204"/>
      <c r="J73" s="505"/>
    </row>
    <row r="74" spans="1:13">
      <c r="A74" s="503"/>
      <c r="B74" s="503"/>
      <c r="C74" s="173">
        <v>3112</v>
      </c>
      <c r="D74" s="174">
        <v>17.399999999999999</v>
      </c>
      <c r="E74" s="174"/>
      <c r="F74" s="174"/>
      <c r="G74" s="204"/>
      <c r="H74" s="174"/>
      <c r="I74" s="204"/>
      <c r="J74" s="505"/>
    </row>
    <row r="75" spans="1:13">
      <c r="A75" s="503"/>
      <c r="B75" s="503"/>
      <c r="C75" s="173">
        <v>3141</v>
      </c>
      <c r="D75" s="174"/>
      <c r="E75" s="174">
        <v>24000</v>
      </c>
      <c r="F75" s="205"/>
      <c r="G75" s="206"/>
      <c r="H75" s="205"/>
      <c r="I75" s="206"/>
      <c r="J75" s="507" t="s">
        <v>262</v>
      </c>
    </row>
    <row r="76" spans="1:13">
      <c r="A76" s="503"/>
      <c r="B76" s="503"/>
      <c r="C76" s="173">
        <v>2215</v>
      </c>
      <c r="D76" s="174"/>
      <c r="E76" s="174">
        <v>16000</v>
      </c>
      <c r="F76" s="205"/>
      <c r="G76" s="206"/>
      <c r="H76" s="205"/>
      <c r="I76" s="206"/>
      <c r="J76" s="506"/>
    </row>
    <row r="77" spans="1:13" ht="26.25" thickBot="1">
      <c r="A77" s="511"/>
      <c r="B77" s="511"/>
      <c r="C77" s="176">
        <v>2215</v>
      </c>
      <c r="D77" s="177"/>
      <c r="E77" s="177">
        <v>100</v>
      </c>
      <c r="F77" s="209"/>
      <c r="G77" s="210"/>
      <c r="H77" s="209"/>
      <c r="I77" s="210"/>
      <c r="J77" s="222" t="s">
        <v>242</v>
      </c>
      <c r="K77" s="180"/>
      <c r="L77" s="180"/>
      <c r="M77" s="181"/>
    </row>
    <row r="78" spans="1:13">
      <c r="A78" s="503"/>
      <c r="B78" s="503" t="s">
        <v>15</v>
      </c>
      <c r="C78" s="182">
        <v>2214</v>
      </c>
      <c r="D78" s="183">
        <v>3.9</v>
      </c>
      <c r="E78" s="183"/>
      <c r="F78" s="183"/>
      <c r="G78" s="221"/>
      <c r="H78" s="183"/>
      <c r="I78" s="221"/>
      <c r="J78" s="505" t="s">
        <v>254</v>
      </c>
    </row>
    <row r="79" spans="1:13">
      <c r="A79" s="503"/>
      <c r="B79" s="503"/>
      <c r="C79" s="173">
        <v>2222</v>
      </c>
      <c r="D79" s="174">
        <v>16.100000000000001</v>
      </c>
      <c r="E79" s="174"/>
      <c r="F79" s="174"/>
      <c r="G79" s="204"/>
      <c r="H79" s="174"/>
      <c r="I79" s="204"/>
      <c r="J79" s="505"/>
      <c r="L79" s="213"/>
    </row>
    <row r="80" spans="1:13" ht="13.5" thickBot="1">
      <c r="A80" s="503"/>
      <c r="B80" s="503"/>
      <c r="C80" s="173">
        <v>3112</v>
      </c>
      <c r="D80" s="174">
        <v>10.5</v>
      </c>
      <c r="E80" s="174"/>
      <c r="F80" s="174"/>
      <c r="G80" s="204"/>
      <c r="H80" s="174"/>
      <c r="I80" s="204"/>
      <c r="J80" s="506"/>
      <c r="L80" s="213"/>
    </row>
    <row r="81" spans="1:13">
      <c r="A81" s="512"/>
      <c r="B81" s="518" t="s">
        <v>139</v>
      </c>
      <c r="C81" s="188">
        <v>2214</v>
      </c>
      <c r="D81" s="189">
        <v>2.2999999999999998</v>
      </c>
      <c r="E81" s="189"/>
      <c r="F81" s="189"/>
      <c r="G81" s="203"/>
      <c r="H81" s="189"/>
      <c r="I81" s="203"/>
      <c r="J81" s="528" t="s">
        <v>254</v>
      </c>
    </row>
    <row r="82" spans="1:13">
      <c r="A82" s="516"/>
      <c r="B82" s="519"/>
      <c r="C82" s="173">
        <v>2215</v>
      </c>
      <c r="D82" s="174">
        <v>1</v>
      </c>
      <c r="E82" s="174"/>
      <c r="F82" s="174"/>
      <c r="G82" s="204"/>
      <c r="H82" s="174"/>
      <c r="I82" s="204"/>
      <c r="J82" s="514"/>
    </row>
    <row r="83" spans="1:13" hidden="1">
      <c r="A83" s="516"/>
      <c r="B83" s="519"/>
      <c r="C83" s="173"/>
      <c r="D83" s="174"/>
      <c r="E83" s="174"/>
      <c r="F83" s="174"/>
      <c r="G83" s="204"/>
      <c r="H83" s="174"/>
      <c r="I83" s="204"/>
      <c r="J83" s="507"/>
    </row>
    <row r="84" spans="1:13" hidden="1">
      <c r="A84" s="510"/>
      <c r="B84" s="520"/>
      <c r="C84" s="173"/>
      <c r="D84" s="174"/>
      <c r="E84" s="174"/>
      <c r="F84" s="205"/>
      <c r="G84" s="206"/>
      <c r="H84" s="205"/>
      <c r="I84" s="206"/>
      <c r="J84" s="506"/>
    </row>
    <row r="85" spans="1:13" ht="15.6" hidden="1" customHeight="1">
      <c r="A85" s="510"/>
      <c r="B85" s="520"/>
      <c r="C85" s="223"/>
      <c r="D85" s="224"/>
      <c r="E85" s="224"/>
      <c r="F85" s="205"/>
      <c r="G85" s="206"/>
      <c r="H85" s="205"/>
      <c r="I85" s="206"/>
      <c r="J85" s="220"/>
    </row>
    <row r="86" spans="1:13" hidden="1">
      <c r="A86" s="510"/>
      <c r="B86" s="520"/>
      <c r="C86" s="207"/>
      <c r="D86" s="205"/>
      <c r="E86" s="205"/>
      <c r="F86" s="205"/>
      <c r="G86" s="206"/>
      <c r="H86" s="205"/>
      <c r="I86" s="206"/>
      <c r="J86" s="220"/>
    </row>
    <row r="87" spans="1:13" hidden="1">
      <c r="A87" s="510"/>
      <c r="B87" s="520"/>
      <c r="C87" s="207"/>
      <c r="D87" s="205"/>
      <c r="E87" s="205"/>
      <c r="F87" s="205"/>
      <c r="G87" s="206"/>
      <c r="H87" s="205"/>
      <c r="I87" s="206"/>
      <c r="J87" s="220"/>
    </row>
    <row r="88" spans="1:13" hidden="1">
      <c r="A88" s="510"/>
      <c r="B88" s="520"/>
      <c r="C88" s="173"/>
      <c r="D88" s="174"/>
      <c r="E88" s="174"/>
      <c r="F88" s="174"/>
      <c r="G88" s="204"/>
      <c r="H88" s="174"/>
      <c r="I88" s="204"/>
      <c r="J88" s="198"/>
    </row>
    <row r="89" spans="1:13" ht="13.5" thickBot="1">
      <c r="A89" s="517"/>
      <c r="B89" s="521"/>
      <c r="C89" s="176">
        <v>2215</v>
      </c>
      <c r="D89" s="177"/>
      <c r="E89" s="177">
        <v>6</v>
      </c>
      <c r="F89" s="177"/>
      <c r="G89" s="201"/>
      <c r="H89" s="177"/>
      <c r="I89" s="201"/>
      <c r="J89" s="179" t="s">
        <v>258</v>
      </c>
      <c r="L89" s="213"/>
      <c r="M89" s="181"/>
    </row>
    <row r="90" spans="1:13" ht="13.5" hidden="1" thickBot="1">
      <c r="A90" s="513"/>
      <c r="B90" s="522" t="s">
        <v>142</v>
      </c>
      <c r="C90" s="182"/>
      <c r="D90" s="183"/>
      <c r="E90" s="183"/>
      <c r="F90" s="183"/>
      <c r="G90" s="221"/>
      <c r="H90" s="183"/>
      <c r="I90" s="221"/>
      <c r="J90" s="225"/>
      <c r="L90" s="213"/>
      <c r="M90" s="181"/>
    </row>
    <row r="91" spans="1:13" ht="13.5" hidden="1" thickBot="1">
      <c r="A91" s="511"/>
      <c r="B91" s="523"/>
      <c r="C91" s="199"/>
      <c r="D91" s="177"/>
      <c r="E91" s="177"/>
      <c r="F91" s="178"/>
      <c r="G91" s="226"/>
      <c r="H91" s="177"/>
      <c r="I91" s="201"/>
      <c r="J91" s="179"/>
      <c r="L91" s="213"/>
    </row>
    <row r="92" spans="1:13" ht="13.5" hidden="1" thickBot="1">
      <c r="A92" s="227"/>
      <c r="B92" s="211" t="s">
        <v>21</v>
      </c>
      <c r="C92" s="194"/>
      <c r="D92" s="195"/>
      <c r="E92" s="195"/>
      <c r="F92" s="195"/>
      <c r="G92" s="212"/>
      <c r="H92" s="195"/>
      <c r="I92" s="212"/>
      <c r="J92" s="228"/>
      <c r="K92" s="180"/>
    </row>
    <row r="93" spans="1:13">
      <c r="A93" s="512"/>
      <c r="B93" s="518" t="s">
        <v>22</v>
      </c>
      <c r="C93" s="217">
        <v>2215</v>
      </c>
      <c r="D93" s="218">
        <v>64.400000000000006</v>
      </c>
      <c r="E93" s="218"/>
      <c r="F93" s="218"/>
      <c r="G93" s="219"/>
      <c r="H93" s="218"/>
      <c r="I93" s="219"/>
      <c r="J93" s="504" t="s">
        <v>254</v>
      </c>
    </row>
    <row r="94" spans="1:13">
      <c r="A94" s="526"/>
      <c r="B94" s="527"/>
      <c r="C94" s="173">
        <v>2221</v>
      </c>
      <c r="D94" s="174">
        <v>0.2</v>
      </c>
      <c r="E94" s="174"/>
      <c r="F94" s="174"/>
      <c r="G94" s="204"/>
      <c r="H94" s="174"/>
      <c r="I94" s="204"/>
      <c r="J94" s="505"/>
    </row>
    <row r="95" spans="1:13">
      <c r="A95" s="526"/>
      <c r="B95" s="527"/>
      <c r="C95" s="173">
        <v>3112</v>
      </c>
      <c r="D95" s="174">
        <v>3.7</v>
      </c>
      <c r="E95" s="174"/>
      <c r="F95" s="174"/>
      <c r="G95" s="204"/>
      <c r="H95" s="174"/>
      <c r="I95" s="204"/>
      <c r="J95" s="506"/>
    </row>
    <row r="96" spans="1:13" ht="26.25" thickBot="1">
      <c r="A96" s="526"/>
      <c r="B96" s="527"/>
      <c r="C96" s="173">
        <v>2215</v>
      </c>
      <c r="D96" s="174"/>
      <c r="E96" s="174">
        <v>581</v>
      </c>
      <c r="F96" s="174"/>
      <c r="G96" s="204"/>
      <c r="H96" s="174"/>
      <c r="I96" s="204"/>
      <c r="J96" s="198" t="s">
        <v>238</v>
      </c>
    </row>
    <row r="97" spans="1:13" ht="13.5" hidden="1" thickBot="1">
      <c r="A97" s="516"/>
      <c r="B97" s="519"/>
      <c r="C97" s="173"/>
      <c r="D97" s="174"/>
      <c r="E97" s="174"/>
      <c r="F97" s="174"/>
      <c r="G97" s="204"/>
      <c r="H97" s="174"/>
      <c r="I97" s="204"/>
      <c r="J97" s="198"/>
    </row>
    <row r="98" spans="1:13" ht="13.5" hidden="1" thickBot="1">
      <c r="A98" s="516"/>
      <c r="B98" s="519"/>
      <c r="C98" s="173"/>
      <c r="D98" s="174"/>
      <c r="E98" s="174"/>
      <c r="F98" s="174"/>
      <c r="G98" s="204"/>
      <c r="H98" s="174"/>
      <c r="I98" s="204"/>
      <c r="J98" s="198"/>
    </row>
    <row r="99" spans="1:13" ht="13.5" hidden="1" thickBot="1">
      <c r="A99" s="516"/>
      <c r="B99" s="519"/>
      <c r="C99" s="173"/>
      <c r="D99" s="174"/>
      <c r="E99" s="174"/>
      <c r="F99" s="174"/>
      <c r="G99" s="204"/>
      <c r="H99" s="174"/>
      <c r="I99" s="204"/>
      <c r="J99" s="198"/>
    </row>
    <row r="100" spans="1:13" ht="13.5" hidden="1" thickBot="1">
      <c r="A100" s="510"/>
      <c r="B100" s="520"/>
      <c r="C100" s="207"/>
      <c r="D100" s="205"/>
      <c r="E100" s="205"/>
      <c r="F100" s="205"/>
      <c r="G100" s="206"/>
      <c r="H100" s="205"/>
      <c r="I100" s="206"/>
      <c r="J100" s="198"/>
    </row>
    <row r="101" spans="1:13" ht="13.5" hidden="1" thickBot="1">
      <c r="A101" s="517"/>
      <c r="B101" s="521"/>
      <c r="C101" s="208"/>
      <c r="D101" s="209"/>
      <c r="E101" s="209"/>
      <c r="F101" s="209"/>
      <c r="G101" s="210"/>
      <c r="H101" s="209"/>
      <c r="I101" s="210"/>
      <c r="J101" s="198"/>
      <c r="K101" s="180"/>
      <c r="L101" s="180"/>
      <c r="M101" s="181"/>
    </row>
    <row r="102" spans="1:13">
      <c r="A102" s="512"/>
      <c r="B102" s="518" t="s">
        <v>146</v>
      </c>
      <c r="C102" s="188">
        <v>2215</v>
      </c>
      <c r="D102" s="189">
        <v>15</v>
      </c>
      <c r="E102" s="189"/>
      <c r="F102" s="189"/>
      <c r="G102" s="203"/>
      <c r="H102" s="189"/>
      <c r="I102" s="203"/>
      <c r="J102" s="504" t="s">
        <v>254</v>
      </c>
    </row>
    <row r="103" spans="1:13">
      <c r="A103" s="526"/>
      <c r="B103" s="527"/>
      <c r="C103" s="182">
        <v>2221</v>
      </c>
      <c r="D103" s="183">
        <v>0.2</v>
      </c>
      <c r="E103" s="183"/>
      <c r="F103" s="183"/>
      <c r="G103" s="221"/>
      <c r="H103" s="183"/>
      <c r="I103" s="221"/>
      <c r="J103" s="505"/>
    </row>
    <row r="104" spans="1:13">
      <c r="A104" s="526"/>
      <c r="B104" s="527"/>
      <c r="C104" s="182">
        <v>2222</v>
      </c>
      <c r="D104" s="183">
        <v>2.1</v>
      </c>
      <c r="E104" s="183"/>
      <c r="F104" s="183"/>
      <c r="G104" s="221"/>
      <c r="H104" s="183"/>
      <c r="I104" s="221"/>
      <c r="J104" s="505"/>
    </row>
    <row r="105" spans="1:13">
      <c r="A105" s="526"/>
      <c r="B105" s="527"/>
      <c r="C105" s="182">
        <v>2214</v>
      </c>
      <c r="D105" s="183">
        <v>0.4</v>
      </c>
      <c r="E105" s="183"/>
      <c r="F105" s="183"/>
      <c r="G105" s="221"/>
      <c r="H105" s="183"/>
      <c r="I105" s="221"/>
      <c r="J105" s="505"/>
    </row>
    <row r="106" spans="1:13">
      <c r="A106" s="526"/>
      <c r="B106" s="527"/>
      <c r="C106" s="223">
        <v>2218</v>
      </c>
      <c r="D106" s="224">
        <v>85.3</v>
      </c>
      <c r="E106" s="224"/>
      <c r="F106" s="224"/>
      <c r="G106" s="229"/>
      <c r="H106" s="224"/>
      <c r="I106" s="229"/>
      <c r="J106" s="505"/>
    </row>
    <row r="107" spans="1:13" ht="26.25" thickBot="1">
      <c r="A107" s="516"/>
      <c r="B107" s="519"/>
      <c r="C107" s="173">
        <v>2215</v>
      </c>
      <c r="D107" s="174"/>
      <c r="E107" s="174">
        <v>675.8</v>
      </c>
      <c r="F107" s="174"/>
      <c r="G107" s="204"/>
      <c r="H107" s="174"/>
      <c r="I107" s="204"/>
      <c r="J107" s="198" t="s">
        <v>238</v>
      </c>
    </row>
    <row r="108" spans="1:13" ht="13.5" hidden="1" thickBot="1">
      <c r="A108" s="516"/>
      <c r="B108" s="519"/>
      <c r="C108" s="173"/>
      <c r="D108" s="174"/>
      <c r="E108" s="174"/>
      <c r="F108" s="174"/>
      <c r="G108" s="204"/>
      <c r="H108" s="174"/>
      <c r="I108" s="204"/>
      <c r="J108" s="198"/>
    </row>
    <row r="109" spans="1:13" ht="13.5" hidden="1" thickBot="1">
      <c r="A109" s="516"/>
      <c r="B109" s="519"/>
      <c r="C109" s="173"/>
      <c r="D109" s="174"/>
      <c r="E109" s="174"/>
      <c r="F109" s="174"/>
      <c r="G109" s="204"/>
      <c r="H109" s="174"/>
      <c r="I109" s="204"/>
      <c r="J109" s="198"/>
    </row>
    <row r="110" spans="1:13" ht="13.5" hidden="1" thickBot="1">
      <c r="A110" s="516"/>
      <c r="B110" s="519"/>
      <c r="C110" s="173"/>
      <c r="D110" s="174"/>
      <c r="E110" s="174"/>
      <c r="F110" s="174"/>
      <c r="G110" s="204"/>
      <c r="H110" s="174"/>
      <c r="I110" s="204"/>
      <c r="J110" s="198"/>
    </row>
    <row r="111" spans="1:13" ht="13.5" hidden="1" thickBot="1">
      <c r="A111" s="516"/>
      <c r="B111" s="519"/>
      <c r="C111" s="173"/>
      <c r="D111" s="174"/>
      <c r="E111" s="174"/>
      <c r="F111" s="174"/>
      <c r="G111" s="204"/>
      <c r="H111" s="174"/>
      <c r="I111" s="204"/>
      <c r="J111" s="198"/>
    </row>
    <row r="112" spans="1:13" ht="13.5" hidden="1" thickBot="1">
      <c r="A112" s="516"/>
      <c r="B112" s="519"/>
      <c r="C112" s="173"/>
      <c r="D112" s="174"/>
      <c r="E112" s="174"/>
      <c r="F112" s="174"/>
      <c r="G112" s="204"/>
      <c r="H112" s="174"/>
      <c r="I112" s="204"/>
      <c r="J112" s="198"/>
    </row>
    <row r="113" spans="1:13" ht="13.5" hidden="1" thickBot="1">
      <c r="A113" s="516"/>
      <c r="B113" s="519"/>
      <c r="C113" s="173"/>
      <c r="D113" s="174"/>
      <c r="E113" s="174"/>
      <c r="F113" s="174"/>
      <c r="G113" s="204"/>
      <c r="H113" s="174"/>
      <c r="I113" s="204"/>
      <c r="J113" s="198"/>
    </row>
    <row r="114" spans="1:13" ht="13.5" hidden="1" thickBot="1">
      <c r="A114" s="517"/>
      <c r="B114" s="521"/>
      <c r="C114" s="208"/>
      <c r="D114" s="209"/>
      <c r="E114" s="209"/>
      <c r="F114" s="209"/>
      <c r="G114" s="210"/>
      <c r="H114" s="209"/>
      <c r="I114" s="210"/>
      <c r="J114" s="230"/>
      <c r="K114" s="180"/>
      <c r="L114" s="180"/>
      <c r="M114" s="181"/>
    </row>
    <row r="115" spans="1:13" ht="26.25" thickBot="1">
      <c r="A115" s="513"/>
      <c r="B115" s="525" t="s">
        <v>147</v>
      </c>
      <c r="C115" s="194">
        <v>2215</v>
      </c>
      <c r="D115" s="195">
        <v>1.5</v>
      </c>
      <c r="E115" s="195"/>
      <c r="F115" s="195"/>
      <c r="G115" s="212"/>
      <c r="H115" s="195"/>
      <c r="I115" s="212"/>
      <c r="J115" s="228" t="s">
        <v>254</v>
      </c>
      <c r="K115" s="180"/>
      <c r="L115" s="180"/>
      <c r="M115" s="181"/>
    </row>
    <row r="116" spans="1:13" ht="13.5" hidden="1" thickBot="1">
      <c r="A116" s="503"/>
      <c r="B116" s="522"/>
      <c r="C116" s="182"/>
      <c r="D116" s="183"/>
      <c r="E116" s="183"/>
      <c r="F116" s="183"/>
      <c r="G116" s="221"/>
      <c r="H116" s="183"/>
      <c r="I116" s="221"/>
      <c r="J116" s="225"/>
      <c r="K116" s="180"/>
      <c r="L116" s="180"/>
      <c r="M116" s="181"/>
    </row>
    <row r="117" spans="1:13" ht="13.5" hidden="1" thickBot="1">
      <c r="A117" s="511"/>
      <c r="B117" s="523"/>
      <c r="C117" s="208"/>
      <c r="D117" s="209"/>
      <c r="E117" s="209"/>
      <c r="F117" s="209"/>
      <c r="G117" s="210"/>
      <c r="H117" s="209"/>
      <c r="I117" s="210"/>
      <c r="J117" s="230"/>
      <c r="K117" s="180"/>
      <c r="L117" s="180"/>
    </row>
    <row r="118" spans="1:13" ht="25.5">
      <c r="A118" s="513"/>
      <c r="B118" s="525" t="s">
        <v>237</v>
      </c>
      <c r="C118" s="182">
        <v>2222</v>
      </c>
      <c r="D118" s="183">
        <v>3.2</v>
      </c>
      <c r="E118" s="183"/>
      <c r="F118" s="183"/>
      <c r="G118" s="221"/>
      <c r="H118" s="183"/>
      <c r="I118" s="221"/>
      <c r="J118" s="225" t="s">
        <v>254</v>
      </c>
      <c r="K118" s="180"/>
      <c r="L118" s="180"/>
    </row>
    <row r="119" spans="1:13">
      <c r="A119" s="503"/>
      <c r="B119" s="522"/>
      <c r="C119" s="173">
        <v>2212</v>
      </c>
      <c r="D119" s="174"/>
      <c r="E119" s="174">
        <v>12</v>
      </c>
      <c r="F119" s="174"/>
      <c r="G119" s="204"/>
      <c r="H119" s="174"/>
      <c r="I119" s="204"/>
      <c r="J119" s="225" t="s">
        <v>264</v>
      </c>
      <c r="K119" s="180"/>
      <c r="L119" s="180"/>
    </row>
    <row r="120" spans="1:13">
      <c r="A120" s="503"/>
      <c r="B120" s="522"/>
      <c r="C120" s="173">
        <v>2215</v>
      </c>
      <c r="D120" s="174"/>
      <c r="E120" s="174">
        <v>6.4</v>
      </c>
      <c r="F120" s="174"/>
      <c r="G120" s="204"/>
      <c r="H120" s="174"/>
      <c r="I120" s="204"/>
      <c r="J120" s="225" t="s">
        <v>258</v>
      </c>
      <c r="K120" s="180"/>
      <c r="L120" s="180"/>
    </row>
    <row r="121" spans="1:13" ht="25.5">
      <c r="A121" s="503"/>
      <c r="B121" s="522"/>
      <c r="C121" s="173">
        <v>2215</v>
      </c>
      <c r="D121" s="174"/>
      <c r="E121" s="174">
        <v>120</v>
      </c>
      <c r="F121" s="174"/>
      <c r="G121" s="204"/>
      <c r="H121" s="174"/>
      <c r="I121" s="204"/>
      <c r="J121" s="225" t="s">
        <v>265</v>
      </c>
      <c r="K121" s="180"/>
      <c r="L121" s="180"/>
    </row>
    <row r="122" spans="1:13">
      <c r="A122" s="503"/>
      <c r="B122" s="522"/>
      <c r="C122" s="173">
        <v>2215</v>
      </c>
      <c r="D122" s="174"/>
      <c r="E122" s="174">
        <v>5</v>
      </c>
      <c r="F122" s="174"/>
      <c r="G122" s="204"/>
      <c r="H122" s="174"/>
      <c r="I122" s="204"/>
      <c r="J122" s="225" t="s">
        <v>266</v>
      </c>
      <c r="K122" s="180"/>
      <c r="L122" s="180"/>
    </row>
    <row r="123" spans="1:13">
      <c r="A123" s="503"/>
      <c r="B123" s="522"/>
      <c r="C123" s="173">
        <v>2222</v>
      </c>
      <c r="D123" s="174"/>
      <c r="E123" s="174">
        <v>72</v>
      </c>
      <c r="F123" s="174"/>
      <c r="G123" s="204"/>
      <c r="H123" s="174"/>
      <c r="I123" s="204"/>
      <c r="J123" s="225" t="s">
        <v>267</v>
      </c>
      <c r="K123" s="180"/>
      <c r="L123" s="180"/>
    </row>
    <row r="124" spans="1:13">
      <c r="A124" s="503"/>
      <c r="B124" s="522"/>
      <c r="C124" s="173">
        <v>2222</v>
      </c>
      <c r="D124" s="174"/>
      <c r="E124" s="174">
        <v>9</v>
      </c>
      <c r="F124" s="174"/>
      <c r="G124" s="204"/>
      <c r="H124" s="174"/>
      <c r="I124" s="204"/>
      <c r="J124" s="225" t="s">
        <v>268</v>
      </c>
      <c r="K124" s="180"/>
      <c r="L124" s="180"/>
    </row>
    <row r="125" spans="1:13" ht="25.5">
      <c r="A125" s="503"/>
      <c r="B125" s="522"/>
      <c r="C125" s="173">
        <v>2222</v>
      </c>
      <c r="D125" s="174"/>
      <c r="E125" s="174">
        <v>19.2</v>
      </c>
      <c r="F125" s="174"/>
      <c r="G125" s="204"/>
      <c r="H125" s="174"/>
      <c r="I125" s="204"/>
      <c r="J125" s="225" t="s">
        <v>269</v>
      </c>
      <c r="K125" s="180"/>
      <c r="L125" s="180"/>
    </row>
    <row r="126" spans="1:13" ht="25.5">
      <c r="A126" s="503"/>
      <c r="B126" s="522"/>
      <c r="C126" s="173">
        <v>2222</v>
      </c>
      <c r="D126" s="174"/>
      <c r="E126" s="174">
        <v>19.5</v>
      </c>
      <c r="F126" s="174"/>
      <c r="G126" s="204"/>
      <c r="H126" s="174"/>
      <c r="I126" s="204"/>
      <c r="J126" s="225" t="s">
        <v>270</v>
      </c>
      <c r="K126" s="180"/>
      <c r="L126" s="180"/>
    </row>
    <row r="127" spans="1:13" ht="13.5" thickBot="1">
      <c r="A127" s="503"/>
      <c r="B127" s="522"/>
      <c r="C127" s="173">
        <v>3112</v>
      </c>
      <c r="D127" s="174"/>
      <c r="E127" s="174">
        <v>53</v>
      </c>
      <c r="F127" s="174"/>
      <c r="G127" s="204"/>
      <c r="H127" s="174"/>
      <c r="I127" s="204"/>
      <c r="J127" s="225" t="s">
        <v>246</v>
      </c>
      <c r="K127" s="180"/>
      <c r="L127" s="180"/>
    </row>
    <row r="128" spans="1:13">
      <c r="A128" s="513"/>
      <c r="B128" s="525" t="s">
        <v>20</v>
      </c>
      <c r="C128" s="188">
        <v>2215</v>
      </c>
      <c r="D128" s="189"/>
      <c r="E128" s="189">
        <v>5.2</v>
      </c>
      <c r="F128" s="189"/>
      <c r="G128" s="203"/>
      <c r="H128" s="189"/>
      <c r="I128" s="203"/>
      <c r="J128" s="191" t="s">
        <v>258</v>
      </c>
      <c r="K128" s="180"/>
      <c r="L128" s="180"/>
    </row>
    <row r="129" spans="1:13" ht="13.5" thickBot="1">
      <c r="A129" s="511"/>
      <c r="B129" s="523"/>
      <c r="C129" s="208">
        <v>2231</v>
      </c>
      <c r="D129" s="209"/>
      <c r="E129" s="209">
        <v>5</v>
      </c>
      <c r="F129" s="209"/>
      <c r="G129" s="210"/>
      <c r="H129" s="209"/>
      <c r="I129" s="210"/>
      <c r="J129" s="230" t="s">
        <v>241</v>
      </c>
      <c r="K129" s="180"/>
      <c r="L129" s="180"/>
    </row>
    <row r="130" spans="1:13">
      <c r="A130" s="231"/>
      <c r="B130" s="232"/>
      <c r="C130" s="182"/>
      <c r="D130" s="183"/>
      <c r="E130" s="183"/>
      <c r="F130" s="183"/>
      <c r="G130" s="221"/>
      <c r="H130" s="183"/>
      <c r="I130" s="221"/>
      <c r="J130" s="225"/>
      <c r="K130" s="180"/>
      <c r="L130" s="180"/>
      <c r="M130" s="181"/>
    </row>
    <row r="131" spans="1:13">
      <c r="A131" s="233"/>
      <c r="B131" s="234" t="s">
        <v>229</v>
      </c>
      <c r="C131" s="173"/>
      <c r="D131" s="174">
        <v>40000</v>
      </c>
      <c r="E131" s="174"/>
      <c r="F131" s="174"/>
      <c r="G131" s="174"/>
      <c r="H131" s="174"/>
      <c r="I131" s="204"/>
      <c r="J131" s="198" t="s">
        <v>250</v>
      </c>
      <c r="M131" s="181"/>
    </row>
    <row r="132" spans="1:13">
      <c r="A132" s="233"/>
      <c r="B132" s="234"/>
      <c r="C132" s="173"/>
      <c r="D132" s="174"/>
      <c r="E132" s="174"/>
      <c r="F132" s="174"/>
      <c r="G132" s="174"/>
      <c r="H132" s="174"/>
      <c r="I132" s="204"/>
      <c r="J132" s="198"/>
      <c r="M132" s="181"/>
    </row>
    <row r="133" spans="1:13">
      <c r="A133" s="233"/>
      <c r="B133" s="234" t="s">
        <v>263</v>
      </c>
      <c r="C133" s="173"/>
      <c r="D133" s="174"/>
      <c r="E133" s="174">
        <v>5129.3</v>
      </c>
      <c r="F133" s="174"/>
      <c r="G133" s="174"/>
      <c r="H133" s="174"/>
      <c r="I133" s="204"/>
      <c r="J133" s="198"/>
      <c r="M133" s="181"/>
    </row>
    <row r="134" spans="1:13">
      <c r="A134" s="235"/>
      <c r="B134" s="233"/>
      <c r="C134" s="173"/>
      <c r="D134" s="236">
        <f>SUM(D10:D133)</f>
        <v>51031.1</v>
      </c>
      <c r="E134" s="236">
        <f>SUM(E10:E133)</f>
        <v>51031.1</v>
      </c>
      <c r="F134" s="236">
        <f t="shared" ref="F134:I134" si="0">SUM(F10:F131)</f>
        <v>0</v>
      </c>
      <c r="G134" s="236">
        <f t="shared" si="0"/>
        <v>0</v>
      </c>
      <c r="H134" s="236">
        <f t="shared" si="0"/>
        <v>0</v>
      </c>
      <c r="I134" s="236">
        <f t="shared" si="0"/>
        <v>0</v>
      </c>
      <c r="J134" s="198"/>
      <c r="K134" s="180"/>
      <c r="L134" s="180"/>
      <c r="M134" s="237"/>
    </row>
    <row r="135" spans="1:13">
      <c r="A135" s="238"/>
      <c r="B135" s="239"/>
      <c r="C135" s="14"/>
      <c r="D135" s="240"/>
      <c r="E135" s="180"/>
      <c r="M135"/>
    </row>
    <row r="136" spans="1:13">
      <c r="A136" s="238"/>
      <c r="B136" s="239"/>
      <c r="C136" s="14"/>
      <c r="D136" s="240"/>
      <c r="M136"/>
    </row>
    <row r="137" spans="1:13">
      <c r="A137" s="238"/>
      <c r="B137" s="239"/>
      <c r="C137" s="14"/>
      <c r="D137" s="241"/>
      <c r="M137"/>
    </row>
    <row r="138" spans="1:13">
      <c r="A138" s="238"/>
      <c r="B138" s="239"/>
      <c r="C138" s="14"/>
      <c r="D138" s="241"/>
      <c r="M138"/>
    </row>
    <row r="139" spans="1:13">
      <c r="M139"/>
    </row>
    <row r="140" spans="1:13">
      <c r="B140" s="169"/>
      <c r="M140"/>
    </row>
    <row r="141" spans="1:13">
      <c r="M141"/>
    </row>
    <row r="142" spans="1:13">
      <c r="A142" s="14"/>
      <c r="B142" s="238"/>
      <c r="C142" s="238"/>
      <c r="D142" s="242"/>
      <c r="M142"/>
    </row>
    <row r="143" spans="1:13">
      <c r="A143" s="243"/>
      <c r="B143" s="243"/>
      <c r="C143" s="243"/>
      <c r="D143" s="243"/>
      <c r="M143"/>
    </row>
    <row r="144" spans="1:13">
      <c r="L144" s="180"/>
    </row>
  </sheetData>
  <mergeCells count="58">
    <mergeCell ref="A115:A117"/>
    <mergeCell ref="B115:B117"/>
    <mergeCell ref="A118:A127"/>
    <mergeCell ref="B118:B127"/>
    <mergeCell ref="A128:A129"/>
    <mergeCell ref="B128:B129"/>
    <mergeCell ref="A102:A114"/>
    <mergeCell ref="B102:B114"/>
    <mergeCell ref="J102:J106"/>
    <mergeCell ref="A78:A80"/>
    <mergeCell ref="B78:B80"/>
    <mergeCell ref="J78:J80"/>
    <mergeCell ref="A81:A89"/>
    <mergeCell ref="B81:B89"/>
    <mergeCell ref="J81:J82"/>
    <mergeCell ref="J83:J84"/>
    <mergeCell ref="A90:A91"/>
    <mergeCell ref="B90:B91"/>
    <mergeCell ref="A93:A101"/>
    <mergeCell ref="B93:B101"/>
    <mergeCell ref="J93:J95"/>
    <mergeCell ref="A63:A68"/>
    <mergeCell ref="B63:B68"/>
    <mergeCell ref="J63:J67"/>
    <mergeCell ref="A69:A77"/>
    <mergeCell ref="B69:B77"/>
    <mergeCell ref="J69:J74"/>
    <mergeCell ref="J75:J76"/>
    <mergeCell ref="A59:A62"/>
    <mergeCell ref="B59:B62"/>
    <mergeCell ref="J59:J62"/>
    <mergeCell ref="A36:A46"/>
    <mergeCell ref="B36:B46"/>
    <mergeCell ref="J36:J42"/>
    <mergeCell ref="J43:J44"/>
    <mergeCell ref="A47:A48"/>
    <mergeCell ref="B47:B48"/>
    <mergeCell ref="J47:J48"/>
    <mergeCell ref="A50:A55"/>
    <mergeCell ref="B50:B55"/>
    <mergeCell ref="J50:J55"/>
    <mergeCell ref="A57:A58"/>
    <mergeCell ref="B57:B58"/>
    <mergeCell ref="A25:A34"/>
    <mergeCell ref="B25:B34"/>
    <mergeCell ref="J25:J29"/>
    <mergeCell ref="J30:J31"/>
    <mergeCell ref="A7:J7"/>
    <mergeCell ref="A10:A16"/>
    <mergeCell ref="B10:B16"/>
    <mergeCell ref="J10:J11"/>
    <mergeCell ref="J12:J13"/>
    <mergeCell ref="J14:J15"/>
    <mergeCell ref="A17:A19"/>
    <mergeCell ref="B17:B19"/>
    <mergeCell ref="J17:J18"/>
    <mergeCell ref="A22:A23"/>
    <mergeCell ref="B22:B2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workbookViewId="0">
      <selection activeCell="S15" sqref="S15"/>
    </sheetView>
  </sheetViews>
  <sheetFormatPr defaultRowHeight="12.75"/>
  <cols>
    <col min="1" max="1" width="6.28515625" customWidth="1"/>
    <col min="2" max="2" width="26.42578125" customWidth="1"/>
    <col min="4" max="4" width="0" hidden="1" customWidth="1"/>
    <col min="7" max="7" width="7" customWidth="1"/>
    <col min="8" max="8" width="10.42578125" customWidth="1"/>
    <col min="9" max="9" width="6.42578125" bestFit="1" customWidth="1"/>
    <col min="10" max="10" width="9.28515625" bestFit="1" customWidth="1"/>
    <col min="11" max="11" width="9.28515625" customWidth="1"/>
    <col min="12" max="12" width="7.28515625" customWidth="1"/>
    <col min="13" max="13" width="11" customWidth="1"/>
    <col min="14" max="14" width="9.7109375" hidden="1" customWidth="1"/>
    <col min="15" max="15" width="7.28515625" customWidth="1"/>
    <col min="16" max="16" width="8.7109375" customWidth="1"/>
    <col min="17" max="17" width="10.85546875" customWidth="1"/>
    <col min="18" max="18" width="10.85546875" hidden="1" customWidth="1"/>
    <col min="19" max="19" width="11.7109375" customWidth="1"/>
    <col min="20" max="20" width="9.85546875" bestFit="1" customWidth="1"/>
    <col min="21" max="21" width="11.7109375" hidden="1" customWidth="1"/>
    <col min="22" max="22" width="9.42578125" hidden="1" customWidth="1"/>
    <col min="23" max="24" width="0" hidden="1" customWidth="1"/>
    <col min="25" max="25" width="10.28515625" bestFit="1" customWidth="1"/>
    <col min="258" max="258" width="6.28515625" customWidth="1"/>
    <col min="259" max="259" width="26.42578125" customWidth="1"/>
    <col min="263" max="263" width="7" customWidth="1"/>
    <col min="264" max="264" width="10.42578125" customWidth="1"/>
    <col min="265" max="265" width="6.42578125" bestFit="1" customWidth="1"/>
    <col min="266" max="266" width="9.28515625" bestFit="1" customWidth="1"/>
    <col min="267" max="267" width="9.28515625" customWidth="1"/>
    <col min="268" max="268" width="7.28515625" customWidth="1"/>
    <col min="269" max="269" width="11" customWidth="1"/>
    <col min="270" max="270" width="0" hidden="1" customWidth="1"/>
    <col min="271" max="271" width="7.28515625" customWidth="1"/>
    <col min="272" max="272" width="8.7109375" customWidth="1"/>
    <col min="273" max="273" width="10.85546875" customWidth="1"/>
    <col min="274" max="274" width="0" hidden="1" customWidth="1"/>
    <col min="275" max="275" width="11.7109375" customWidth="1"/>
    <col min="277" max="280" width="0" hidden="1" customWidth="1"/>
    <col min="514" max="514" width="6.28515625" customWidth="1"/>
    <col min="515" max="515" width="26.42578125" customWidth="1"/>
    <col min="519" max="519" width="7" customWidth="1"/>
    <col min="520" max="520" width="10.42578125" customWidth="1"/>
    <col min="521" max="521" width="6.42578125" bestFit="1" customWidth="1"/>
    <col min="522" max="522" width="9.28515625" bestFit="1" customWidth="1"/>
    <col min="523" max="523" width="9.28515625" customWidth="1"/>
    <col min="524" max="524" width="7.28515625" customWidth="1"/>
    <col min="525" max="525" width="11" customWidth="1"/>
    <col min="526" max="526" width="0" hidden="1" customWidth="1"/>
    <col min="527" max="527" width="7.28515625" customWidth="1"/>
    <col min="528" max="528" width="8.7109375" customWidth="1"/>
    <col min="529" max="529" width="10.85546875" customWidth="1"/>
    <col min="530" max="530" width="0" hidden="1" customWidth="1"/>
    <col min="531" max="531" width="11.7109375" customWidth="1"/>
    <col min="533" max="536" width="0" hidden="1" customWidth="1"/>
    <col min="770" max="770" width="6.28515625" customWidth="1"/>
    <col min="771" max="771" width="26.42578125" customWidth="1"/>
    <col min="775" max="775" width="7" customWidth="1"/>
    <col min="776" max="776" width="10.42578125" customWidth="1"/>
    <col min="777" max="777" width="6.42578125" bestFit="1" customWidth="1"/>
    <col min="778" max="778" width="9.28515625" bestFit="1" customWidth="1"/>
    <col min="779" max="779" width="9.28515625" customWidth="1"/>
    <col min="780" max="780" width="7.28515625" customWidth="1"/>
    <col min="781" max="781" width="11" customWidth="1"/>
    <col min="782" max="782" width="0" hidden="1" customWidth="1"/>
    <col min="783" max="783" width="7.28515625" customWidth="1"/>
    <col min="784" max="784" width="8.7109375" customWidth="1"/>
    <col min="785" max="785" width="10.85546875" customWidth="1"/>
    <col min="786" max="786" width="0" hidden="1" customWidth="1"/>
    <col min="787" max="787" width="11.7109375" customWidth="1"/>
    <col min="789" max="792" width="0" hidden="1" customWidth="1"/>
    <col min="1026" max="1026" width="6.28515625" customWidth="1"/>
    <col min="1027" max="1027" width="26.42578125" customWidth="1"/>
    <col min="1031" max="1031" width="7" customWidth="1"/>
    <col min="1032" max="1032" width="10.42578125" customWidth="1"/>
    <col min="1033" max="1033" width="6.42578125" bestFit="1" customWidth="1"/>
    <col min="1034" max="1034" width="9.28515625" bestFit="1" customWidth="1"/>
    <col min="1035" max="1035" width="9.28515625" customWidth="1"/>
    <col min="1036" max="1036" width="7.28515625" customWidth="1"/>
    <col min="1037" max="1037" width="11" customWidth="1"/>
    <col min="1038" max="1038" width="0" hidden="1" customWidth="1"/>
    <col min="1039" max="1039" width="7.28515625" customWidth="1"/>
    <col min="1040" max="1040" width="8.7109375" customWidth="1"/>
    <col min="1041" max="1041" width="10.85546875" customWidth="1"/>
    <col min="1042" max="1042" width="0" hidden="1" customWidth="1"/>
    <col min="1043" max="1043" width="11.7109375" customWidth="1"/>
    <col min="1045" max="1048" width="0" hidden="1" customWidth="1"/>
    <col min="1282" max="1282" width="6.28515625" customWidth="1"/>
    <col min="1283" max="1283" width="26.42578125" customWidth="1"/>
    <col min="1287" max="1287" width="7" customWidth="1"/>
    <col min="1288" max="1288" width="10.42578125" customWidth="1"/>
    <col min="1289" max="1289" width="6.42578125" bestFit="1" customWidth="1"/>
    <col min="1290" max="1290" width="9.28515625" bestFit="1" customWidth="1"/>
    <col min="1291" max="1291" width="9.28515625" customWidth="1"/>
    <col min="1292" max="1292" width="7.28515625" customWidth="1"/>
    <col min="1293" max="1293" width="11" customWidth="1"/>
    <col min="1294" max="1294" width="0" hidden="1" customWidth="1"/>
    <col min="1295" max="1295" width="7.28515625" customWidth="1"/>
    <col min="1296" max="1296" width="8.7109375" customWidth="1"/>
    <col min="1297" max="1297" width="10.85546875" customWidth="1"/>
    <col min="1298" max="1298" width="0" hidden="1" customWidth="1"/>
    <col min="1299" max="1299" width="11.7109375" customWidth="1"/>
    <col min="1301" max="1304" width="0" hidden="1" customWidth="1"/>
    <col min="1538" max="1538" width="6.28515625" customWidth="1"/>
    <col min="1539" max="1539" width="26.42578125" customWidth="1"/>
    <col min="1543" max="1543" width="7" customWidth="1"/>
    <col min="1544" max="1544" width="10.42578125" customWidth="1"/>
    <col min="1545" max="1545" width="6.42578125" bestFit="1" customWidth="1"/>
    <col min="1546" max="1546" width="9.28515625" bestFit="1" customWidth="1"/>
    <col min="1547" max="1547" width="9.28515625" customWidth="1"/>
    <col min="1548" max="1548" width="7.28515625" customWidth="1"/>
    <col min="1549" max="1549" width="11" customWidth="1"/>
    <col min="1550" max="1550" width="0" hidden="1" customWidth="1"/>
    <col min="1551" max="1551" width="7.28515625" customWidth="1"/>
    <col min="1552" max="1552" width="8.7109375" customWidth="1"/>
    <col min="1553" max="1553" width="10.85546875" customWidth="1"/>
    <col min="1554" max="1554" width="0" hidden="1" customWidth="1"/>
    <col min="1555" max="1555" width="11.7109375" customWidth="1"/>
    <col min="1557" max="1560" width="0" hidden="1" customWidth="1"/>
    <col min="1794" max="1794" width="6.28515625" customWidth="1"/>
    <col min="1795" max="1795" width="26.42578125" customWidth="1"/>
    <col min="1799" max="1799" width="7" customWidth="1"/>
    <col min="1800" max="1800" width="10.42578125" customWidth="1"/>
    <col min="1801" max="1801" width="6.42578125" bestFit="1" customWidth="1"/>
    <col min="1802" max="1802" width="9.28515625" bestFit="1" customWidth="1"/>
    <col min="1803" max="1803" width="9.28515625" customWidth="1"/>
    <col min="1804" max="1804" width="7.28515625" customWidth="1"/>
    <col min="1805" max="1805" width="11" customWidth="1"/>
    <col min="1806" max="1806" width="0" hidden="1" customWidth="1"/>
    <col min="1807" max="1807" width="7.28515625" customWidth="1"/>
    <col min="1808" max="1808" width="8.7109375" customWidth="1"/>
    <col min="1809" max="1809" width="10.85546875" customWidth="1"/>
    <col min="1810" max="1810" width="0" hidden="1" customWidth="1"/>
    <col min="1811" max="1811" width="11.7109375" customWidth="1"/>
    <col min="1813" max="1816" width="0" hidden="1" customWidth="1"/>
    <col min="2050" max="2050" width="6.28515625" customWidth="1"/>
    <col min="2051" max="2051" width="26.42578125" customWidth="1"/>
    <col min="2055" max="2055" width="7" customWidth="1"/>
    <col min="2056" max="2056" width="10.42578125" customWidth="1"/>
    <col min="2057" max="2057" width="6.42578125" bestFit="1" customWidth="1"/>
    <col min="2058" max="2058" width="9.28515625" bestFit="1" customWidth="1"/>
    <col min="2059" max="2059" width="9.28515625" customWidth="1"/>
    <col min="2060" max="2060" width="7.28515625" customWidth="1"/>
    <col min="2061" max="2061" width="11" customWidth="1"/>
    <col min="2062" max="2062" width="0" hidden="1" customWidth="1"/>
    <col min="2063" max="2063" width="7.28515625" customWidth="1"/>
    <col min="2064" max="2064" width="8.7109375" customWidth="1"/>
    <col min="2065" max="2065" width="10.85546875" customWidth="1"/>
    <col min="2066" max="2066" width="0" hidden="1" customWidth="1"/>
    <col min="2067" max="2067" width="11.7109375" customWidth="1"/>
    <col min="2069" max="2072" width="0" hidden="1" customWidth="1"/>
    <col min="2306" max="2306" width="6.28515625" customWidth="1"/>
    <col min="2307" max="2307" width="26.42578125" customWidth="1"/>
    <col min="2311" max="2311" width="7" customWidth="1"/>
    <col min="2312" max="2312" width="10.42578125" customWidth="1"/>
    <col min="2313" max="2313" width="6.42578125" bestFit="1" customWidth="1"/>
    <col min="2314" max="2314" width="9.28515625" bestFit="1" customWidth="1"/>
    <col min="2315" max="2315" width="9.28515625" customWidth="1"/>
    <col min="2316" max="2316" width="7.28515625" customWidth="1"/>
    <col min="2317" max="2317" width="11" customWidth="1"/>
    <col min="2318" max="2318" width="0" hidden="1" customWidth="1"/>
    <col min="2319" max="2319" width="7.28515625" customWidth="1"/>
    <col min="2320" max="2320" width="8.7109375" customWidth="1"/>
    <col min="2321" max="2321" width="10.85546875" customWidth="1"/>
    <col min="2322" max="2322" width="0" hidden="1" customWidth="1"/>
    <col min="2323" max="2323" width="11.7109375" customWidth="1"/>
    <col min="2325" max="2328" width="0" hidden="1" customWidth="1"/>
    <col min="2562" max="2562" width="6.28515625" customWidth="1"/>
    <col min="2563" max="2563" width="26.42578125" customWidth="1"/>
    <col min="2567" max="2567" width="7" customWidth="1"/>
    <col min="2568" max="2568" width="10.42578125" customWidth="1"/>
    <col min="2569" max="2569" width="6.42578125" bestFit="1" customWidth="1"/>
    <col min="2570" max="2570" width="9.28515625" bestFit="1" customWidth="1"/>
    <col min="2571" max="2571" width="9.28515625" customWidth="1"/>
    <col min="2572" max="2572" width="7.28515625" customWidth="1"/>
    <col min="2573" max="2573" width="11" customWidth="1"/>
    <col min="2574" max="2574" width="0" hidden="1" customWidth="1"/>
    <col min="2575" max="2575" width="7.28515625" customWidth="1"/>
    <col min="2576" max="2576" width="8.7109375" customWidth="1"/>
    <col min="2577" max="2577" width="10.85546875" customWidth="1"/>
    <col min="2578" max="2578" width="0" hidden="1" customWidth="1"/>
    <col min="2579" max="2579" width="11.7109375" customWidth="1"/>
    <col min="2581" max="2584" width="0" hidden="1" customWidth="1"/>
    <col min="2818" max="2818" width="6.28515625" customWidth="1"/>
    <col min="2819" max="2819" width="26.42578125" customWidth="1"/>
    <col min="2823" max="2823" width="7" customWidth="1"/>
    <col min="2824" max="2824" width="10.42578125" customWidth="1"/>
    <col min="2825" max="2825" width="6.42578125" bestFit="1" customWidth="1"/>
    <col min="2826" max="2826" width="9.28515625" bestFit="1" customWidth="1"/>
    <col min="2827" max="2827" width="9.28515625" customWidth="1"/>
    <col min="2828" max="2828" width="7.28515625" customWidth="1"/>
    <col min="2829" max="2829" width="11" customWidth="1"/>
    <col min="2830" max="2830" width="0" hidden="1" customWidth="1"/>
    <col min="2831" max="2831" width="7.28515625" customWidth="1"/>
    <col min="2832" max="2832" width="8.7109375" customWidth="1"/>
    <col min="2833" max="2833" width="10.85546875" customWidth="1"/>
    <col min="2834" max="2834" width="0" hidden="1" customWidth="1"/>
    <col min="2835" max="2835" width="11.7109375" customWidth="1"/>
    <col min="2837" max="2840" width="0" hidden="1" customWidth="1"/>
    <col min="3074" max="3074" width="6.28515625" customWidth="1"/>
    <col min="3075" max="3075" width="26.42578125" customWidth="1"/>
    <col min="3079" max="3079" width="7" customWidth="1"/>
    <col min="3080" max="3080" width="10.42578125" customWidth="1"/>
    <col min="3081" max="3081" width="6.42578125" bestFit="1" customWidth="1"/>
    <col min="3082" max="3082" width="9.28515625" bestFit="1" customWidth="1"/>
    <col min="3083" max="3083" width="9.28515625" customWidth="1"/>
    <col min="3084" max="3084" width="7.28515625" customWidth="1"/>
    <col min="3085" max="3085" width="11" customWidth="1"/>
    <col min="3086" max="3086" width="0" hidden="1" customWidth="1"/>
    <col min="3087" max="3087" width="7.28515625" customWidth="1"/>
    <col min="3088" max="3088" width="8.7109375" customWidth="1"/>
    <col min="3089" max="3089" width="10.85546875" customWidth="1"/>
    <col min="3090" max="3090" width="0" hidden="1" customWidth="1"/>
    <col min="3091" max="3091" width="11.7109375" customWidth="1"/>
    <col min="3093" max="3096" width="0" hidden="1" customWidth="1"/>
    <col min="3330" max="3330" width="6.28515625" customWidth="1"/>
    <col min="3331" max="3331" width="26.42578125" customWidth="1"/>
    <col min="3335" max="3335" width="7" customWidth="1"/>
    <col min="3336" max="3336" width="10.42578125" customWidth="1"/>
    <col min="3337" max="3337" width="6.42578125" bestFit="1" customWidth="1"/>
    <col min="3338" max="3338" width="9.28515625" bestFit="1" customWidth="1"/>
    <col min="3339" max="3339" width="9.28515625" customWidth="1"/>
    <col min="3340" max="3340" width="7.28515625" customWidth="1"/>
    <col min="3341" max="3341" width="11" customWidth="1"/>
    <col min="3342" max="3342" width="0" hidden="1" customWidth="1"/>
    <col min="3343" max="3343" width="7.28515625" customWidth="1"/>
    <col min="3344" max="3344" width="8.7109375" customWidth="1"/>
    <col min="3345" max="3345" width="10.85546875" customWidth="1"/>
    <col min="3346" max="3346" width="0" hidden="1" customWidth="1"/>
    <col min="3347" max="3347" width="11.7109375" customWidth="1"/>
    <col min="3349" max="3352" width="0" hidden="1" customWidth="1"/>
    <col min="3586" max="3586" width="6.28515625" customWidth="1"/>
    <col min="3587" max="3587" width="26.42578125" customWidth="1"/>
    <col min="3591" max="3591" width="7" customWidth="1"/>
    <col min="3592" max="3592" width="10.42578125" customWidth="1"/>
    <col min="3593" max="3593" width="6.42578125" bestFit="1" customWidth="1"/>
    <col min="3594" max="3594" width="9.28515625" bestFit="1" customWidth="1"/>
    <col min="3595" max="3595" width="9.28515625" customWidth="1"/>
    <col min="3596" max="3596" width="7.28515625" customWidth="1"/>
    <col min="3597" max="3597" width="11" customWidth="1"/>
    <col min="3598" max="3598" width="0" hidden="1" customWidth="1"/>
    <col min="3599" max="3599" width="7.28515625" customWidth="1"/>
    <col min="3600" max="3600" width="8.7109375" customWidth="1"/>
    <col min="3601" max="3601" width="10.85546875" customWidth="1"/>
    <col min="3602" max="3602" width="0" hidden="1" customWidth="1"/>
    <col min="3603" max="3603" width="11.7109375" customWidth="1"/>
    <col min="3605" max="3608" width="0" hidden="1" customWidth="1"/>
    <col min="3842" max="3842" width="6.28515625" customWidth="1"/>
    <col min="3843" max="3843" width="26.42578125" customWidth="1"/>
    <col min="3847" max="3847" width="7" customWidth="1"/>
    <col min="3848" max="3848" width="10.42578125" customWidth="1"/>
    <col min="3849" max="3849" width="6.42578125" bestFit="1" customWidth="1"/>
    <col min="3850" max="3850" width="9.28515625" bestFit="1" customWidth="1"/>
    <col min="3851" max="3851" width="9.28515625" customWidth="1"/>
    <col min="3852" max="3852" width="7.28515625" customWidth="1"/>
    <col min="3853" max="3853" width="11" customWidth="1"/>
    <col min="3854" max="3854" width="0" hidden="1" customWidth="1"/>
    <col min="3855" max="3855" width="7.28515625" customWidth="1"/>
    <col min="3856" max="3856" width="8.7109375" customWidth="1"/>
    <col min="3857" max="3857" width="10.85546875" customWidth="1"/>
    <col min="3858" max="3858" width="0" hidden="1" customWidth="1"/>
    <col min="3859" max="3859" width="11.7109375" customWidth="1"/>
    <col min="3861" max="3864" width="0" hidden="1" customWidth="1"/>
    <col min="4098" max="4098" width="6.28515625" customWidth="1"/>
    <col min="4099" max="4099" width="26.42578125" customWidth="1"/>
    <col min="4103" max="4103" width="7" customWidth="1"/>
    <col min="4104" max="4104" width="10.42578125" customWidth="1"/>
    <col min="4105" max="4105" width="6.42578125" bestFit="1" customWidth="1"/>
    <col min="4106" max="4106" width="9.28515625" bestFit="1" customWidth="1"/>
    <col min="4107" max="4107" width="9.28515625" customWidth="1"/>
    <col min="4108" max="4108" width="7.28515625" customWidth="1"/>
    <col min="4109" max="4109" width="11" customWidth="1"/>
    <col min="4110" max="4110" width="0" hidden="1" customWidth="1"/>
    <col min="4111" max="4111" width="7.28515625" customWidth="1"/>
    <col min="4112" max="4112" width="8.7109375" customWidth="1"/>
    <col min="4113" max="4113" width="10.85546875" customWidth="1"/>
    <col min="4114" max="4114" width="0" hidden="1" customWidth="1"/>
    <col min="4115" max="4115" width="11.7109375" customWidth="1"/>
    <col min="4117" max="4120" width="0" hidden="1" customWidth="1"/>
    <col min="4354" max="4354" width="6.28515625" customWidth="1"/>
    <col min="4355" max="4355" width="26.42578125" customWidth="1"/>
    <col min="4359" max="4359" width="7" customWidth="1"/>
    <col min="4360" max="4360" width="10.42578125" customWidth="1"/>
    <col min="4361" max="4361" width="6.42578125" bestFit="1" customWidth="1"/>
    <col min="4362" max="4362" width="9.28515625" bestFit="1" customWidth="1"/>
    <col min="4363" max="4363" width="9.28515625" customWidth="1"/>
    <col min="4364" max="4364" width="7.28515625" customWidth="1"/>
    <col min="4365" max="4365" width="11" customWidth="1"/>
    <col min="4366" max="4366" width="0" hidden="1" customWidth="1"/>
    <col min="4367" max="4367" width="7.28515625" customWidth="1"/>
    <col min="4368" max="4368" width="8.7109375" customWidth="1"/>
    <col min="4369" max="4369" width="10.85546875" customWidth="1"/>
    <col min="4370" max="4370" width="0" hidden="1" customWidth="1"/>
    <col min="4371" max="4371" width="11.7109375" customWidth="1"/>
    <col min="4373" max="4376" width="0" hidden="1" customWidth="1"/>
    <col min="4610" max="4610" width="6.28515625" customWidth="1"/>
    <col min="4611" max="4611" width="26.42578125" customWidth="1"/>
    <col min="4615" max="4615" width="7" customWidth="1"/>
    <col min="4616" max="4616" width="10.42578125" customWidth="1"/>
    <col min="4617" max="4617" width="6.42578125" bestFit="1" customWidth="1"/>
    <col min="4618" max="4618" width="9.28515625" bestFit="1" customWidth="1"/>
    <col min="4619" max="4619" width="9.28515625" customWidth="1"/>
    <col min="4620" max="4620" width="7.28515625" customWidth="1"/>
    <col min="4621" max="4621" width="11" customWidth="1"/>
    <col min="4622" max="4622" width="0" hidden="1" customWidth="1"/>
    <col min="4623" max="4623" width="7.28515625" customWidth="1"/>
    <col min="4624" max="4624" width="8.7109375" customWidth="1"/>
    <col min="4625" max="4625" width="10.85546875" customWidth="1"/>
    <col min="4626" max="4626" width="0" hidden="1" customWidth="1"/>
    <col min="4627" max="4627" width="11.7109375" customWidth="1"/>
    <col min="4629" max="4632" width="0" hidden="1" customWidth="1"/>
    <col min="4866" max="4866" width="6.28515625" customWidth="1"/>
    <col min="4867" max="4867" width="26.42578125" customWidth="1"/>
    <col min="4871" max="4871" width="7" customWidth="1"/>
    <col min="4872" max="4872" width="10.42578125" customWidth="1"/>
    <col min="4873" max="4873" width="6.42578125" bestFit="1" customWidth="1"/>
    <col min="4874" max="4874" width="9.28515625" bestFit="1" customWidth="1"/>
    <col min="4875" max="4875" width="9.28515625" customWidth="1"/>
    <col min="4876" max="4876" width="7.28515625" customWidth="1"/>
    <col min="4877" max="4877" width="11" customWidth="1"/>
    <col min="4878" max="4878" width="0" hidden="1" customWidth="1"/>
    <col min="4879" max="4879" width="7.28515625" customWidth="1"/>
    <col min="4880" max="4880" width="8.7109375" customWidth="1"/>
    <col min="4881" max="4881" width="10.85546875" customWidth="1"/>
    <col min="4882" max="4882" width="0" hidden="1" customWidth="1"/>
    <col min="4883" max="4883" width="11.7109375" customWidth="1"/>
    <col min="4885" max="4888" width="0" hidden="1" customWidth="1"/>
    <col min="5122" max="5122" width="6.28515625" customWidth="1"/>
    <col min="5123" max="5123" width="26.42578125" customWidth="1"/>
    <col min="5127" max="5127" width="7" customWidth="1"/>
    <col min="5128" max="5128" width="10.42578125" customWidth="1"/>
    <col min="5129" max="5129" width="6.42578125" bestFit="1" customWidth="1"/>
    <col min="5130" max="5130" width="9.28515625" bestFit="1" customWidth="1"/>
    <col min="5131" max="5131" width="9.28515625" customWidth="1"/>
    <col min="5132" max="5132" width="7.28515625" customWidth="1"/>
    <col min="5133" max="5133" width="11" customWidth="1"/>
    <col min="5134" max="5134" width="0" hidden="1" customWidth="1"/>
    <col min="5135" max="5135" width="7.28515625" customWidth="1"/>
    <col min="5136" max="5136" width="8.7109375" customWidth="1"/>
    <col min="5137" max="5137" width="10.85546875" customWidth="1"/>
    <col min="5138" max="5138" width="0" hidden="1" customWidth="1"/>
    <col min="5139" max="5139" width="11.7109375" customWidth="1"/>
    <col min="5141" max="5144" width="0" hidden="1" customWidth="1"/>
    <col min="5378" max="5378" width="6.28515625" customWidth="1"/>
    <col min="5379" max="5379" width="26.42578125" customWidth="1"/>
    <col min="5383" max="5383" width="7" customWidth="1"/>
    <col min="5384" max="5384" width="10.42578125" customWidth="1"/>
    <col min="5385" max="5385" width="6.42578125" bestFit="1" customWidth="1"/>
    <col min="5386" max="5386" width="9.28515625" bestFit="1" customWidth="1"/>
    <col min="5387" max="5387" width="9.28515625" customWidth="1"/>
    <col min="5388" max="5388" width="7.28515625" customWidth="1"/>
    <col min="5389" max="5389" width="11" customWidth="1"/>
    <col min="5390" max="5390" width="0" hidden="1" customWidth="1"/>
    <col min="5391" max="5391" width="7.28515625" customWidth="1"/>
    <col min="5392" max="5392" width="8.7109375" customWidth="1"/>
    <col min="5393" max="5393" width="10.85546875" customWidth="1"/>
    <col min="5394" max="5394" width="0" hidden="1" customWidth="1"/>
    <col min="5395" max="5395" width="11.7109375" customWidth="1"/>
    <col min="5397" max="5400" width="0" hidden="1" customWidth="1"/>
    <col min="5634" max="5634" width="6.28515625" customWidth="1"/>
    <col min="5635" max="5635" width="26.42578125" customWidth="1"/>
    <col min="5639" max="5639" width="7" customWidth="1"/>
    <col min="5640" max="5640" width="10.42578125" customWidth="1"/>
    <col min="5641" max="5641" width="6.42578125" bestFit="1" customWidth="1"/>
    <col min="5642" max="5642" width="9.28515625" bestFit="1" customWidth="1"/>
    <col min="5643" max="5643" width="9.28515625" customWidth="1"/>
    <col min="5644" max="5644" width="7.28515625" customWidth="1"/>
    <col min="5645" max="5645" width="11" customWidth="1"/>
    <col min="5646" max="5646" width="0" hidden="1" customWidth="1"/>
    <col min="5647" max="5647" width="7.28515625" customWidth="1"/>
    <col min="5648" max="5648" width="8.7109375" customWidth="1"/>
    <col min="5649" max="5649" width="10.85546875" customWidth="1"/>
    <col min="5650" max="5650" width="0" hidden="1" customWidth="1"/>
    <col min="5651" max="5651" width="11.7109375" customWidth="1"/>
    <col min="5653" max="5656" width="0" hidden="1" customWidth="1"/>
    <col min="5890" max="5890" width="6.28515625" customWidth="1"/>
    <col min="5891" max="5891" width="26.42578125" customWidth="1"/>
    <col min="5895" max="5895" width="7" customWidth="1"/>
    <col min="5896" max="5896" width="10.42578125" customWidth="1"/>
    <col min="5897" max="5897" width="6.42578125" bestFit="1" customWidth="1"/>
    <col min="5898" max="5898" width="9.28515625" bestFit="1" customWidth="1"/>
    <col min="5899" max="5899" width="9.28515625" customWidth="1"/>
    <col min="5900" max="5900" width="7.28515625" customWidth="1"/>
    <col min="5901" max="5901" width="11" customWidth="1"/>
    <col min="5902" max="5902" width="0" hidden="1" customWidth="1"/>
    <col min="5903" max="5903" width="7.28515625" customWidth="1"/>
    <col min="5904" max="5904" width="8.7109375" customWidth="1"/>
    <col min="5905" max="5905" width="10.85546875" customWidth="1"/>
    <col min="5906" max="5906" width="0" hidden="1" customWidth="1"/>
    <col min="5907" max="5907" width="11.7109375" customWidth="1"/>
    <col min="5909" max="5912" width="0" hidden="1" customWidth="1"/>
    <col min="6146" max="6146" width="6.28515625" customWidth="1"/>
    <col min="6147" max="6147" width="26.42578125" customWidth="1"/>
    <col min="6151" max="6151" width="7" customWidth="1"/>
    <col min="6152" max="6152" width="10.42578125" customWidth="1"/>
    <col min="6153" max="6153" width="6.42578125" bestFit="1" customWidth="1"/>
    <col min="6154" max="6154" width="9.28515625" bestFit="1" customWidth="1"/>
    <col min="6155" max="6155" width="9.28515625" customWidth="1"/>
    <col min="6156" max="6156" width="7.28515625" customWidth="1"/>
    <col min="6157" max="6157" width="11" customWidth="1"/>
    <col min="6158" max="6158" width="0" hidden="1" customWidth="1"/>
    <col min="6159" max="6159" width="7.28515625" customWidth="1"/>
    <col min="6160" max="6160" width="8.7109375" customWidth="1"/>
    <col min="6161" max="6161" width="10.85546875" customWidth="1"/>
    <col min="6162" max="6162" width="0" hidden="1" customWidth="1"/>
    <col min="6163" max="6163" width="11.7109375" customWidth="1"/>
    <col min="6165" max="6168" width="0" hidden="1" customWidth="1"/>
    <col min="6402" max="6402" width="6.28515625" customWidth="1"/>
    <col min="6403" max="6403" width="26.42578125" customWidth="1"/>
    <col min="6407" max="6407" width="7" customWidth="1"/>
    <col min="6408" max="6408" width="10.42578125" customWidth="1"/>
    <col min="6409" max="6409" width="6.42578125" bestFit="1" customWidth="1"/>
    <col min="6410" max="6410" width="9.28515625" bestFit="1" customWidth="1"/>
    <col min="6411" max="6411" width="9.28515625" customWidth="1"/>
    <col min="6412" max="6412" width="7.28515625" customWidth="1"/>
    <col min="6413" max="6413" width="11" customWidth="1"/>
    <col min="6414" max="6414" width="0" hidden="1" customWidth="1"/>
    <col min="6415" max="6415" width="7.28515625" customWidth="1"/>
    <col min="6416" max="6416" width="8.7109375" customWidth="1"/>
    <col min="6417" max="6417" width="10.85546875" customWidth="1"/>
    <col min="6418" max="6418" width="0" hidden="1" customWidth="1"/>
    <col min="6419" max="6419" width="11.7109375" customWidth="1"/>
    <col min="6421" max="6424" width="0" hidden="1" customWidth="1"/>
    <col min="6658" max="6658" width="6.28515625" customWidth="1"/>
    <col min="6659" max="6659" width="26.42578125" customWidth="1"/>
    <col min="6663" max="6663" width="7" customWidth="1"/>
    <col min="6664" max="6664" width="10.42578125" customWidth="1"/>
    <col min="6665" max="6665" width="6.42578125" bestFit="1" customWidth="1"/>
    <col min="6666" max="6666" width="9.28515625" bestFit="1" customWidth="1"/>
    <col min="6667" max="6667" width="9.28515625" customWidth="1"/>
    <col min="6668" max="6668" width="7.28515625" customWidth="1"/>
    <col min="6669" max="6669" width="11" customWidth="1"/>
    <col min="6670" max="6670" width="0" hidden="1" customWidth="1"/>
    <col min="6671" max="6671" width="7.28515625" customWidth="1"/>
    <col min="6672" max="6672" width="8.7109375" customWidth="1"/>
    <col min="6673" max="6673" width="10.85546875" customWidth="1"/>
    <col min="6674" max="6674" width="0" hidden="1" customWidth="1"/>
    <col min="6675" max="6675" width="11.7109375" customWidth="1"/>
    <col min="6677" max="6680" width="0" hidden="1" customWidth="1"/>
    <col min="6914" max="6914" width="6.28515625" customWidth="1"/>
    <col min="6915" max="6915" width="26.42578125" customWidth="1"/>
    <col min="6919" max="6919" width="7" customWidth="1"/>
    <col min="6920" max="6920" width="10.42578125" customWidth="1"/>
    <col min="6921" max="6921" width="6.42578125" bestFit="1" customWidth="1"/>
    <col min="6922" max="6922" width="9.28515625" bestFit="1" customWidth="1"/>
    <col min="6923" max="6923" width="9.28515625" customWidth="1"/>
    <col min="6924" max="6924" width="7.28515625" customWidth="1"/>
    <col min="6925" max="6925" width="11" customWidth="1"/>
    <col min="6926" max="6926" width="0" hidden="1" customWidth="1"/>
    <col min="6927" max="6927" width="7.28515625" customWidth="1"/>
    <col min="6928" max="6928" width="8.7109375" customWidth="1"/>
    <col min="6929" max="6929" width="10.85546875" customWidth="1"/>
    <col min="6930" max="6930" width="0" hidden="1" customWidth="1"/>
    <col min="6931" max="6931" width="11.7109375" customWidth="1"/>
    <col min="6933" max="6936" width="0" hidden="1" customWidth="1"/>
    <col min="7170" max="7170" width="6.28515625" customWidth="1"/>
    <col min="7171" max="7171" width="26.42578125" customWidth="1"/>
    <col min="7175" max="7175" width="7" customWidth="1"/>
    <col min="7176" max="7176" width="10.42578125" customWidth="1"/>
    <col min="7177" max="7177" width="6.42578125" bestFit="1" customWidth="1"/>
    <col min="7178" max="7178" width="9.28515625" bestFit="1" customWidth="1"/>
    <col min="7179" max="7179" width="9.28515625" customWidth="1"/>
    <col min="7180" max="7180" width="7.28515625" customWidth="1"/>
    <col min="7181" max="7181" width="11" customWidth="1"/>
    <col min="7182" max="7182" width="0" hidden="1" customWidth="1"/>
    <col min="7183" max="7183" width="7.28515625" customWidth="1"/>
    <col min="7184" max="7184" width="8.7109375" customWidth="1"/>
    <col min="7185" max="7185" width="10.85546875" customWidth="1"/>
    <col min="7186" max="7186" width="0" hidden="1" customWidth="1"/>
    <col min="7187" max="7187" width="11.7109375" customWidth="1"/>
    <col min="7189" max="7192" width="0" hidden="1" customWidth="1"/>
    <col min="7426" max="7426" width="6.28515625" customWidth="1"/>
    <col min="7427" max="7427" width="26.42578125" customWidth="1"/>
    <col min="7431" max="7431" width="7" customWidth="1"/>
    <col min="7432" max="7432" width="10.42578125" customWidth="1"/>
    <col min="7433" max="7433" width="6.42578125" bestFit="1" customWidth="1"/>
    <col min="7434" max="7434" width="9.28515625" bestFit="1" customWidth="1"/>
    <col min="7435" max="7435" width="9.28515625" customWidth="1"/>
    <col min="7436" max="7436" width="7.28515625" customWidth="1"/>
    <col min="7437" max="7437" width="11" customWidth="1"/>
    <col min="7438" max="7438" width="0" hidden="1" customWidth="1"/>
    <col min="7439" max="7439" width="7.28515625" customWidth="1"/>
    <col min="7440" max="7440" width="8.7109375" customWidth="1"/>
    <col min="7441" max="7441" width="10.85546875" customWidth="1"/>
    <col min="7442" max="7442" width="0" hidden="1" customWidth="1"/>
    <col min="7443" max="7443" width="11.7109375" customWidth="1"/>
    <col min="7445" max="7448" width="0" hidden="1" customWidth="1"/>
    <col min="7682" max="7682" width="6.28515625" customWidth="1"/>
    <col min="7683" max="7683" width="26.42578125" customWidth="1"/>
    <col min="7687" max="7687" width="7" customWidth="1"/>
    <col min="7688" max="7688" width="10.42578125" customWidth="1"/>
    <col min="7689" max="7689" width="6.42578125" bestFit="1" customWidth="1"/>
    <col min="7690" max="7690" width="9.28515625" bestFit="1" customWidth="1"/>
    <col min="7691" max="7691" width="9.28515625" customWidth="1"/>
    <col min="7692" max="7692" width="7.28515625" customWidth="1"/>
    <col min="7693" max="7693" width="11" customWidth="1"/>
    <col min="7694" max="7694" width="0" hidden="1" customWidth="1"/>
    <col min="7695" max="7695" width="7.28515625" customWidth="1"/>
    <col min="7696" max="7696" width="8.7109375" customWidth="1"/>
    <col min="7697" max="7697" width="10.85546875" customWidth="1"/>
    <col min="7698" max="7698" width="0" hidden="1" customWidth="1"/>
    <col min="7699" max="7699" width="11.7109375" customWidth="1"/>
    <col min="7701" max="7704" width="0" hidden="1" customWidth="1"/>
    <col min="7938" max="7938" width="6.28515625" customWidth="1"/>
    <col min="7939" max="7939" width="26.42578125" customWidth="1"/>
    <col min="7943" max="7943" width="7" customWidth="1"/>
    <col min="7944" max="7944" width="10.42578125" customWidth="1"/>
    <col min="7945" max="7945" width="6.42578125" bestFit="1" customWidth="1"/>
    <col min="7946" max="7946" width="9.28515625" bestFit="1" customWidth="1"/>
    <col min="7947" max="7947" width="9.28515625" customWidth="1"/>
    <col min="7948" max="7948" width="7.28515625" customWidth="1"/>
    <col min="7949" max="7949" width="11" customWidth="1"/>
    <col min="7950" max="7950" width="0" hidden="1" customWidth="1"/>
    <col min="7951" max="7951" width="7.28515625" customWidth="1"/>
    <col min="7952" max="7952" width="8.7109375" customWidth="1"/>
    <col min="7953" max="7953" width="10.85546875" customWidth="1"/>
    <col min="7954" max="7954" width="0" hidden="1" customWidth="1"/>
    <col min="7955" max="7955" width="11.7109375" customWidth="1"/>
    <col min="7957" max="7960" width="0" hidden="1" customWidth="1"/>
    <col min="8194" max="8194" width="6.28515625" customWidth="1"/>
    <col min="8195" max="8195" width="26.42578125" customWidth="1"/>
    <col min="8199" max="8199" width="7" customWidth="1"/>
    <col min="8200" max="8200" width="10.42578125" customWidth="1"/>
    <col min="8201" max="8201" width="6.42578125" bestFit="1" customWidth="1"/>
    <col min="8202" max="8202" width="9.28515625" bestFit="1" customWidth="1"/>
    <col min="8203" max="8203" width="9.28515625" customWidth="1"/>
    <col min="8204" max="8204" width="7.28515625" customWidth="1"/>
    <col min="8205" max="8205" width="11" customWidth="1"/>
    <col min="8206" max="8206" width="0" hidden="1" customWidth="1"/>
    <col min="8207" max="8207" width="7.28515625" customWidth="1"/>
    <col min="8208" max="8208" width="8.7109375" customWidth="1"/>
    <col min="8209" max="8209" width="10.85546875" customWidth="1"/>
    <col min="8210" max="8210" width="0" hidden="1" customWidth="1"/>
    <col min="8211" max="8211" width="11.7109375" customWidth="1"/>
    <col min="8213" max="8216" width="0" hidden="1" customWidth="1"/>
    <col min="8450" max="8450" width="6.28515625" customWidth="1"/>
    <col min="8451" max="8451" width="26.42578125" customWidth="1"/>
    <col min="8455" max="8455" width="7" customWidth="1"/>
    <col min="8456" max="8456" width="10.42578125" customWidth="1"/>
    <col min="8457" max="8457" width="6.42578125" bestFit="1" customWidth="1"/>
    <col min="8458" max="8458" width="9.28515625" bestFit="1" customWidth="1"/>
    <col min="8459" max="8459" width="9.28515625" customWidth="1"/>
    <col min="8460" max="8460" width="7.28515625" customWidth="1"/>
    <col min="8461" max="8461" width="11" customWidth="1"/>
    <col min="8462" max="8462" width="0" hidden="1" customWidth="1"/>
    <col min="8463" max="8463" width="7.28515625" customWidth="1"/>
    <col min="8464" max="8464" width="8.7109375" customWidth="1"/>
    <col min="8465" max="8465" width="10.85546875" customWidth="1"/>
    <col min="8466" max="8466" width="0" hidden="1" customWidth="1"/>
    <col min="8467" max="8467" width="11.7109375" customWidth="1"/>
    <col min="8469" max="8472" width="0" hidden="1" customWidth="1"/>
    <col min="8706" max="8706" width="6.28515625" customWidth="1"/>
    <col min="8707" max="8707" width="26.42578125" customWidth="1"/>
    <col min="8711" max="8711" width="7" customWidth="1"/>
    <col min="8712" max="8712" width="10.42578125" customWidth="1"/>
    <col min="8713" max="8713" width="6.42578125" bestFit="1" customWidth="1"/>
    <col min="8714" max="8714" width="9.28515625" bestFit="1" customWidth="1"/>
    <col min="8715" max="8715" width="9.28515625" customWidth="1"/>
    <col min="8716" max="8716" width="7.28515625" customWidth="1"/>
    <col min="8717" max="8717" width="11" customWidth="1"/>
    <col min="8718" max="8718" width="0" hidden="1" customWidth="1"/>
    <col min="8719" max="8719" width="7.28515625" customWidth="1"/>
    <col min="8720" max="8720" width="8.7109375" customWidth="1"/>
    <col min="8721" max="8721" width="10.85546875" customWidth="1"/>
    <col min="8722" max="8722" width="0" hidden="1" customWidth="1"/>
    <col min="8723" max="8723" width="11.7109375" customWidth="1"/>
    <col min="8725" max="8728" width="0" hidden="1" customWidth="1"/>
    <col min="8962" max="8962" width="6.28515625" customWidth="1"/>
    <col min="8963" max="8963" width="26.42578125" customWidth="1"/>
    <col min="8967" max="8967" width="7" customWidth="1"/>
    <col min="8968" max="8968" width="10.42578125" customWidth="1"/>
    <col min="8969" max="8969" width="6.42578125" bestFit="1" customWidth="1"/>
    <col min="8970" max="8970" width="9.28515625" bestFit="1" customWidth="1"/>
    <col min="8971" max="8971" width="9.28515625" customWidth="1"/>
    <col min="8972" max="8972" width="7.28515625" customWidth="1"/>
    <col min="8973" max="8973" width="11" customWidth="1"/>
    <col min="8974" max="8974" width="0" hidden="1" customWidth="1"/>
    <col min="8975" max="8975" width="7.28515625" customWidth="1"/>
    <col min="8976" max="8976" width="8.7109375" customWidth="1"/>
    <col min="8977" max="8977" width="10.85546875" customWidth="1"/>
    <col min="8978" max="8978" width="0" hidden="1" customWidth="1"/>
    <col min="8979" max="8979" width="11.7109375" customWidth="1"/>
    <col min="8981" max="8984" width="0" hidden="1" customWidth="1"/>
    <col min="9218" max="9218" width="6.28515625" customWidth="1"/>
    <col min="9219" max="9219" width="26.42578125" customWidth="1"/>
    <col min="9223" max="9223" width="7" customWidth="1"/>
    <col min="9224" max="9224" width="10.42578125" customWidth="1"/>
    <col min="9225" max="9225" width="6.42578125" bestFit="1" customWidth="1"/>
    <col min="9226" max="9226" width="9.28515625" bestFit="1" customWidth="1"/>
    <col min="9227" max="9227" width="9.28515625" customWidth="1"/>
    <col min="9228" max="9228" width="7.28515625" customWidth="1"/>
    <col min="9229" max="9229" width="11" customWidth="1"/>
    <col min="9230" max="9230" width="0" hidden="1" customWidth="1"/>
    <col min="9231" max="9231" width="7.28515625" customWidth="1"/>
    <col min="9232" max="9232" width="8.7109375" customWidth="1"/>
    <col min="9233" max="9233" width="10.85546875" customWidth="1"/>
    <col min="9234" max="9234" width="0" hidden="1" customWidth="1"/>
    <col min="9235" max="9235" width="11.7109375" customWidth="1"/>
    <col min="9237" max="9240" width="0" hidden="1" customWidth="1"/>
    <col min="9474" max="9474" width="6.28515625" customWidth="1"/>
    <col min="9475" max="9475" width="26.42578125" customWidth="1"/>
    <col min="9479" max="9479" width="7" customWidth="1"/>
    <col min="9480" max="9480" width="10.42578125" customWidth="1"/>
    <col min="9481" max="9481" width="6.42578125" bestFit="1" customWidth="1"/>
    <col min="9482" max="9482" width="9.28515625" bestFit="1" customWidth="1"/>
    <col min="9483" max="9483" width="9.28515625" customWidth="1"/>
    <col min="9484" max="9484" width="7.28515625" customWidth="1"/>
    <col min="9485" max="9485" width="11" customWidth="1"/>
    <col min="9486" max="9486" width="0" hidden="1" customWidth="1"/>
    <col min="9487" max="9487" width="7.28515625" customWidth="1"/>
    <col min="9488" max="9488" width="8.7109375" customWidth="1"/>
    <col min="9489" max="9489" width="10.85546875" customWidth="1"/>
    <col min="9490" max="9490" width="0" hidden="1" customWidth="1"/>
    <col min="9491" max="9491" width="11.7109375" customWidth="1"/>
    <col min="9493" max="9496" width="0" hidden="1" customWidth="1"/>
    <col min="9730" max="9730" width="6.28515625" customWidth="1"/>
    <col min="9731" max="9731" width="26.42578125" customWidth="1"/>
    <col min="9735" max="9735" width="7" customWidth="1"/>
    <col min="9736" max="9736" width="10.42578125" customWidth="1"/>
    <col min="9737" max="9737" width="6.42578125" bestFit="1" customWidth="1"/>
    <col min="9738" max="9738" width="9.28515625" bestFit="1" customWidth="1"/>
    <col min="9739" max="9739" width="9.28515625" customWidth="1"/>
    <col min="9740" max="9740" width="7.28515625" customWidth="1"/>
    <col min="9741" max="9741" width="11" customWidth="1"/>
    <col min="9742" max="9742" width="0" hidden="1" customWidth="1"/>
    <col min="9743" max="9743" width="7.28515625" customWidth="1"/>
    <col min="9744" max="9744" width="8.7109375" customWidth="1"/>
    <col min="9745" max="9745" width="10.85546875" customWidth="1"/>
    <col min="9746" max="9746" width="0" hidden="1" customWidth="1"/>
    <col min="9747" max="9747" width="11.7109375" customWidth="1"/>
    <col min="9749" max="9752" width="0" hidden="1" customWidth="1"/>
    <col min="9986" max="9986" width="6.28515625" customWidth="1"/>
    <col min="9987" max="9987" width="26.42578125" customWidth="1"/>
    <col min="9991" max="9991" width="7" customWidth="1"/>
    <col min="9992" max="9992" width="10.42578125" customWidth="1"/>
    <col min="9993" max="9993" width="6.42578125" bestFit="1" customWidth="1"/>
    <col min="9994" max="9994" width="9.28515625" bestFit="1" customWidth="1"/>
    <col min="9995" max="9995" width="9.28515625" customWidth="1"/>
    <col min="9996" max="9996" width="7.28515625" customWidth="1"/>
    <col min="9997" max="9997" width="11" customWidth="1"/>
    <col min="9998" max="9998" width="0" hidden="1" customWidth="1"/>
    <col min="9999" max="9999" width="7.28515625" customWidth="1"/>
    <col min="10000" max="10000" width="8.7109375" customWidth="1"/>
    <col min="10001" max="10001" width="10.85546875" customWidth="1"/>
    <col min="10002" max="10002" width="0" hidden="1" customWidth="1"/>
    <col min="10003" max="10003" width="11.7109375" customWidth="1"/>
    <col min="10005" max="10008" width="0" hidden="1" customWidth="1"/>
    <col min="10242" max="10242" width="6.28515625" customWidth="1"/>
    <col min="10243" max="10243" width="26.42578125" customWidth="1"/>
    <col min="10247" max="10247" width="7" customWidth="1"/>
    <col min="10248" max="10248" width="10.42578125" customWidth="1"/>
    <col min="10249" max="10249" width="6.42578125" bestFit="1" customWidth="1"/>
    <col min="10250" max="10250" width="9.28515625" bestFit="1" customWidth="1"/>
    <col min="10251" max="10251" width="9.28515625" customWidth="1"/>
    <col min="10252" max="10252" width="7.28515625" customWidth="1"/>
    <col min="10253" max="10253" width="11" customWidth="1"/>
    <col min="10254" max="10254" width="0" hidden="1" customWidth="1"/>
    <col min="10255" max="10255" width="7.28515625" customWidth="1"/>
    <col min="10256" max="10256" width="8.7109375" customWidth="1"/>
    <col min="10257" max="10257" width="10.85546875" customWidth="1"/>
    <col min="10258" max="10258" width="0" hidden="1" customWidth="1"/>
    <col min="10259" max="10259" width="11.7109375" customWidth="1"/>
    <col min="10261" max="10264" width="0" hidden="1" customWidth="1"/>
    <col min="10498" max="10498" width="6.28515625" customWidth="1"/>
    <col min="10499" max="10499" width="26.42578125" customWidth="1"/>
    <col min="10503" max="10503" width="7" customWidth="1"/>
    <col min="10504" max="10504" width="10.42578125" customWidth="1"/>
    <col min="10505" max="10505" width="6.42578125" bestFit="1" customWidth="1"/>
    <col min="10506" max="10506" width="9.28515625" bestFit="1" customWidth="1"/>
    <col min="10507" max="10507" width="9.28515625" customWidth="1"/>
    <col min="10508" max="10508" width="7.28515625" customWidth="1"/>
    <col min="10509" max="10509" width="11" customWidth="1"/>
    <col min="10510" max="10510" width="0" hidden="1" customWidth="1"/>
    <col min="10511" max="10511" width="7.28515625" customWidth="1"/>
    <col min="10512" max="10512" width="8.7109375" customWidth="1"/>
    <col min="10513" max="10513" width="10.85546875" customWidth="1"/>
    <col min="10514" max="10514" width="0" hidden="1" customWidth="1"/>
    <col min="10515" max="10515" width="11.7109375" customWidth="1"/>
    <col min="10517" max="10520" width="0" hidden="1" customWidth="1"/>
    <col min="10754" max="10754" width="6.28515625" customWidth="1"/>
    <col min="10755" max="10755" width="26.42578125" customWidth="1"/>
    <col min="10759" max="10759" width="7" customWidth="1"/>
    <col min="10760" max="10760" width="10.42578125" customWidth="1"/>
    <col min="10761" max="10761" width="6.42578125" bestFit="1" customWidth="1"/>
    <col min="10762" max="10762" width="9.28515625" bestFit="1" customWidth="1"/>
    <col min="10763" max="10763" width="9.28515625" customWidth="1"/>
    <col min="10764" max="10764" width="7.28515625" customWidth="1"/>
    <col min="10765" max="10765" width="11" customWidth="1"/>
    <col min="10766" max="10766" width="0" hidden="1" customWidth="1"/>
    <col min="10767" max="10767" width="7.28515625" customWidth="1"/>
    <col min="10768" max="10768" width="8.7109375" customWidth="1"/>
    <col min="10769" max="10769" width="10.85546875" customWidth="1"/>
    <col min="10770" max="10770" width="0" hidden="1" customWidth="1"/>
    <col min="10771" max="10771" width="11.7109375" customWidth="1"/>
    <col min="10773" max="10776" width="0" hidden="1" customWidth="1"/>
    <col min="11010" max="11010" width="6.28515625" customWidth="1"/>
    <col min="11011" max="11011" width="26.42578125" customWidth="1"/>
    <col min="11015" max="11015" width="7" customWidth="1"/>
    <col min="11016" max="11016" width="10.42578125" customWidth="1"/>
    <col min="11017" max="11017" width="6.42578125" bestFit="1" customWidth="1"/>
    <col min="11018" max="11018" width="9.28515625" bestFit="1" customWidth="1"/>
    <col min="11019" max="11019" width="9.28515625" customWidth="1"/>
    <col min="11020" max="11020" width="7.28515625" customWidth="1"/>
    <col min="11021" max="11021" width="11" customWidth="1"/>
    <col min="11022" max="11022" width="0" hidden="1" customWidth="1"/>
    <col min="11023" max="11023" width="7.28515625" customWidth="1"/>
    <col min="11024" max="11024" width="8.7109375" customWidth="1"/>
    <col min="11025" max="11025" width="10.85546875" customWidth="1"/>
    <col min="11026" max="11026" width="0" hidden="1" customWidth="1"/>
    <col min="11027" max="11027" width="11.7109375" customWidth="1"/>
    <col min="11029" max="11032" width="0" hidden="1" customWidth="1"/>
    <col min="11266" max="11266" width="6.28515625" customWidth="1"/>
    <col min="11267" max="11267" width="26.42578125" customWidth="1"/>
    <col min="11271" max="11271" width="7" customWidth="1"/>
    <col min="11272" max="11272" width="10.42578125" customWidth="1"/>
    <col min="11273" max="11273" width="6.42578125" bestFit="1" customWidth="1"/>
    <col min="11274" max="11274" width="9.28515625" bestFit="1" customWidth="1"/>
    <col min="11275" max="11275" width="9.28515625" customWidth="1"/>
    <col min="11276" max="11276" width="7.28515625" customWidth="1"/>
    <col min="11277" max="11277" width="11" customWidth="1"/>
    <col min="11278" max="11278" width="0" hidden="1" customWidth="1"/>
    <col min="11279" max="11279" width="7.28515625" customWidth="1"/>
    <col min="11280" max="11280" width="8.7109375" customWidth="1"/>
    <col min="11281" max="11281" width="10.85546875" customWidth="1"/>
    <col min="11282" max="11282" width="0" hidden="1" customWidth="1"/>
    <col min="11283" max="11283" width="11.7109375" customWidth="1"/>
    <col min="11285" max="11288" width="0" hidden="1" customWidth="1"/>
    <col min="11522" max="11522" width="6.28515625" customWidth="1"/>
    <col min="11523" max="11523" width="26.42578125" customWidth="1"/>
    <col min="11527" max="11527" width="7" customWidth="1"/>
    <col min="11528" max="11528" width="10.42578125" customWidth="1"/>
    <col min="11529" max="11529" width="6.42578125" bestFit="1" customWidth="1"/>
    <col min="11530" max="11530" width="9.28515625" bestFit="1" customWidth="1"/>
    <col min="11531" max="11531" width="9.28515625" customWidth="1"/>
    <col min="11532" max="11532" width="7.28515625" customWidth="1"/>
    <col min="11533" max="11533" width="11" customWidth="1"/>
    <col min="11534" max="11534" width="0" hidden="1" customWidth="1"/>
    <col min="11535" max="11535" width="7.28515625" customWidth="1"/>
    <col min="11536" max="11536" width="8.7109375" customWidth="1"/>
    <col min="11537" max="11537" width="10.85546875" customWidth="1"/>
    <col min="11538" max="11538" width="0" hidden="1" customWidth="1"/>
    <col min="11539" max="11539" width="11.7109375" customWidth="1"/>
    <col min="11541" max="11544" width="0" hidden="1" customWidth="1"/>
    <col min="11778" max="11778" width="6.28515625" customWidth="1"/>
    <col min="11779" max="11779" width="26.42578125" customWidth="1"/>
    <col min="11783" max="11783" width="7" customWidth="1"/>
    <col min="11784" max="11784" width="10.42578125" customWidth="1"/>
    <col min="11785" max="11785" width="6.42578125" bestFit="1" customWidth="1"/>
    <col min="11786" max="11786" width="9.28515625" bestFit="1" customWidth="1"/>
    <col min="11787" max="11787" width="9.28515625" customWidth="1"/>
    <col min="11788" max="11788" width="7.28515625" customWidth="1"/>
    <col min="11789" max="11789" width="11" customWidth="1"/>
    <col min="11790" max="11790" width="0" hidden="1" customWidth="1"/>
    <col min="11791" max="11791" width="7.28515625" customWidth="1"/>
    <col min="11792" max="11792" width="8.7109375" customWidth="1"/>
    <col min="11793" max="11793" width="10.85546875" customWidth="1"/>
    <col min="11794" max="11794" width="0" hidden="1" customWidth="1"/>
    <col min="11795" max="11795" width="11.7109375" customWidth="1"/>
    <col min="11797" max="11800" width="0" hidden="1" customWidth="1"/>
    <col min="12034" max="12034" width="6.28515625" customWidth="1"/>
    <col min="12035" max="12035" width="26.42578125" customWidth="1"/>
    <col min="12039" max="12039" width="7" customWidth="1"/>
    <col min="12040" max="12040" width="10.42578125" customWidth="1"/>
    <col min="12041" max="12041" width="6.42578125" bestFit="1" customWidth="1"/>
    <col min="12042" max="12042" width="9.28515625" bestFit="1" customWidth="1"/>
    <col min="12043" max="12043" width="9.28515625" customWidth="1"/>
    <col min="12044" max="12044" width="7.28515625" customWidth="1"/>
    <col min="12045" max="12045" width="11" customWidth="1"/>
    <col min="12046" max="12046" width="0" hidden="1" customWidth="1"/>
    <col min="12047" max="12047" width="7.28515625" customWidth="1"/>
    <col min="12048" max="12048" width="8.7109375" customWidth="1"/>
    <col min="12049" max="12049" width="10.85546875" customWidth="1"/>
    <col min="12050" max="12050" width="0" hidden="1" customWidth="1"/>
    <col min="12051" max="12051" width="11.7109375" customWidth="1"/>
    <col min="12053" max="12056" width="0" hidden="1" customWidth="1"/>
    <col min="12290" max="12290" width="6.28515625" customWidth="1"/>
    <col min="12291" max="12291" width="26.42578125" customWidth="1"/>
    <col min="12295" max="12295" width="7" customWidth="1"/>
    <col min="12296" max="12296" width="10.42578125" customWidth="1"/>
    <col min="12297" max="12297" width="6.42578125" bestFit="1" customWidth="1"/>
    <col min="12298" max="12298" width="9.28515625" bestFit="1" customWidth="1"/>
    <col min="12299" max="12299" width="9.28515625" customWidth="1"/>
    <col min="12300" max="12300" width="7.28515625" customWidth="1"/>
    <col min="12301" max="12301" width="11" customWidth="1"/>
    <col min="12302" max="12302" width="0" hidden="1" customWidth="1"/>
    <col min="12303" max="12303" width="7.28515625" customWidth="1"/>
    <col min="12304" max="12304" width="8.7109375" customWidth="1"/>
    <col min="12305" max="12305" width="10.85546875" customWidth="1"/>
    <col min="12306" max="12306" width="0" hidden="1" customWidth="1"/>
    <col min="12307" max="12307" width="11.7109375" customWidth="1"/>
    <col min="12309" max="12312" width="0" hidden="1" customWidth="1"/>
    <col min="12546" max="12546" width="6.28515625" customWidth="1"/>
    <col min="12547" max="12547" width="26.42578125" customWidth="1"/>
    <col min="12551" max="12551" width="7" customWidth="1"/>
    <col min="12552" max="12552" width="10.42578125" customWidth="1"/>
    <col min="12553" max="12553" width="6.42578125" bestFit="1" customWidth="1"/>
    <col min="12554" max="12554" width="9.28515625" bestFit="1" customWidth="1"/>
    <col min="12555" max="12555" width="9.28515625" customWidth="1"/>
    <col min="12556" max="12556" width="7.28515625" customWidth="1"/>
    <col min="12557" max="12557" width="11" customWidth="1"/>
    <col min="12558" max="12558" width="0" hidden="1" customWidth="1"/>
    <col min="12559" max="12559" width="7.28515625" customWidth="1"/>
    <col min="12560" max="12560" width="8.7109375" customWidth="1"/>
    <col min="12561" max="12561" width="10.85546875" customWidth="1"/>
    <col min="12562" max="12562" width="0" hidden="1" customWidth="1"/>
    <col min="12563" max="12563" width="11.7109375" customWidth="1"/>
    <col min="12565" max="12568" width="0" hidden="1" customWidth="1"/>
    <col min="12802" max="12802" width="6.28515625" customWidth="1"/>
    <col min="12803" max="12803" width="26.42578125" customWidth="1"/>
    <col min="12807" max="12807" width="7" customWidth="1"/>
    <col min="12808" max="12808" width="10.42578125" customWidth="1"/>
    <col min="12809" max="12809" width="6.42578125" bestFit="1" customWidth="1"/>
    <col min="12810" max="12810" width="9.28515625" bestFit="1" customWidth="1"/>
    <col min="12811" max="12811" width="9.28515625" customWidth="1"/>
    <col min="12812" max="12812" width="7.28515625" customWidth="1"/>
    <col min="12813" max="12813" width="11" customWidth="1"/>
    <col min="12814" max="12814" width="0" hidden="1" customWidth="1"/>
    <col min="12815" max="12815" width="7.28515625" customWidth="1"/>
    <col min="12816" max="12816" width="8.7109375" customWidth="1"/>
    <col min="12817" max="12817" width="10.85546875" customWidth="1"/>
    <col min="12818" max="12818" width="0" hidden="1" customWidth="1"/>
    <col min="12819" max="12819" width="11.7109375" customWidth="1"/>
    <col min="12821" max="12824" width="0" hidden="1" customWidth="1"/>
    <col min="13058" max="13058" width="6.28515625" customWidth="1"/>
    <col min="13059" max="13059" width="26.42578125" customWidth="1"/>
    <col min="13063" max="13063" width="7" customWidth="1"/>
    <col min="13064" max="13064" width="10.42578125" customWidth="1"/>
    <col min="13065" max="13065" width="6.42578125" bestFit="1" customWidth="1"/>
    <col min="13066" max="13066" width="9.28515625" bestFit="1" customWidth="1"/>
    <col min="13067" max="13067" width="9.28515625" customWidth="1"/>
    <col min="13068" max="13068" width="7.28515625" customWidth="1"/>
    <col min="13069" max="13069" width="11" customWidth="1"/>
    <col min="13070" max="13070" width="0" hidden="1" customWidth="1"/>
    <col min="13071" max="13071" width="7.28515625" customWidth="1"/>
    <col min="13072" max="13072" width="8.7109375" customWidth="1"/>
    <col min="13073" max="13073" width="10.85546875" customWidth="1"/>
    <col min="13074" max="13074" width="0" hidden="1" customWidth="1"/>
    <col min="13075" max="13075" width="11.7109375" customWidth="1"/>
    <col min="13077" max="13080" width="0" hidden="1" customWidth="1"/>
    <col min="13314" max="13314" width="6.28515625" customWidth="1"/>
    <col min="13315" max="13315" width="26.42578125" customWidth="1"/>
    <col min="13319" max="13319" width="7" customWidth="1"/>
    <col min="13320" max="13320" width="10.42578125" customWidth="1"/>
    <col min="13321" max="13321" width="6.42578125" bestFit="1" customWidth="1"/>
    <col min="13322" max="13322" width="9.28515625" bestFit="1" customWidth="1"/>
    <col min="13323" max="13323" width="9.28515625" customWidth="1"/>
    <col min="13324" max="13324" width="7.28515625" customWidth="1"/>
    <col min="13325" max="13325" width="11" customWidth="1"/>
    <col min="13326" max="13326" width="0" hidden="1" customWidth="1"/>
    <col min="13327" max="13327" width="7.28515625" customWidth="1"/>
    <col min="13328" max="13328" width="8.7109375" customWidth="1"/>
    <col min="13329" max="13329" width="10.85546875" customWidth="1"/>
    <col min="13330" max="13330" width="0" hidden="1" customWidth="1"/>
    <col min="13331" max="13331" width="11.7109375" customWidth="1"/>
    <col min="13333" max="13336" width="0" hidden="1" customWidth="1"/>
    <col min="13570" max="13570" width="6.28515625" customWidth="1"/>
    <col min="13571" max="13571" width="26.42578125" customWidth="1"/>
    <col min="13575" max="13575" width="7" customWidth="1"/>
    <col min="13576" max="13576" width="10.42578125" customWidth="1"/>
    <col min="13577" max="13577" width="6.42578125" bestFit="1" customWidth="1"/>
    <col min="13578" max="13578" width="9.28515625" bestFit="1" customWidth="1"/>
    <col min="13579" max="13579" width="9.28515625" customWidth="1"/>
    <col min="13580" max="13580" width="7.28515625" customWidth="1"/>
    <col min="13581" max="13581" width="11" customWidth="1"/>
    <col min="13582" max="13582" width="0" hidden="1" customWidth="1"/>
    <col min="13583" max="13583" width="7.28515625" customWidth="1"/>
    <col min="13584" max="13584" width="8.7109375" customWidth="1"/>
    <col min="13585" max="13585" width="10.85546875" customWidth="1"/>
    <col min="13586" max="13586" width="0" hidden="1" customWidth="1"/>
    <col min="13587" max="13587" width="11.7109375" customWidth="1"/>
    <col min="13589" max="13592" width="0" hidden="1" customWidth="1"/>
    <col min="13826" max="13826" width="6.28515625" customWidth="1"/>
    <col min="13827" max="13827" width="26.42578125" customWidth="1"/>
    <col min="13831" max="13831" width="7" customWidth="1"/>
    <col min="13832" max="13832" width="10.42578125" customWidth="1"/>
    <col min="13833" max="13833" width="6.42578125" bestFit="1" customWidth="1"/>
    <col min="13834" max="13834" width="9.28515625" bestFit="1" customWidth="1"/>
    <col min="13835" max="13835" width="9.28515625" customWidth="1"/>
    <col min="13836" max="13836" width="7.28515625" customWidth="1"/>
    <col min="13837" max="13837" width="11" customWidth="1"/>
    <col min="13838" max="13838" width="0" hidden="1" customWidth="1"/>
    <col min="13839" max="13839" width="7.28515625" customWidth="1"/>
    <col min="13840" max="13840" width="8.7109375" customWidth="1"/>
    <col min="13841" max="13841" width="10.85546875" customWidth="1"/>
    <col min="13842" max="13842" width="0" hidden="1" customWidth="1"/>
    <col min="13843" max="13843" width="11.7109375" customWidth="1"/>
    <col min="13845" max="13848" width="0" hidden="1" customWidth="1"/>
    <col min="14082" max="14082" width="6.28515625" customWidth="1"/>
    <col min="14083" max="14083" width="26.42578125" customWidth="1"/>
    <col min="14087" max="14087" width="7" customWidth="1"/>
    <col min="14088" max="14088" width="10.42578125" customWidth="1"/>
    <col min="14089" max="14089" width="6.42578125" bestFit="1" customWidth="1"/>
    <col min="14090" max="14090" width="9.28515625" bestFit="1" customWidth="1"/>
    <col min="14091" max="14091" width="9.28515625" customWidth="1"/>
    <col min="14092" max="14092" width="7.28515625" customWidth="1"/>
    <col min="14093" max="14093" width="11" customWidth="1"/>
    <col min="14094" max="14094" width="0" hidden="1" customWidth="1"/>
    <col min="14095" max="14095" width="7.28515625" customWidth="1"/>
    <col min="14096" max="14096" width="8.7109375" customWidth="1"/>
    <col min="14097" max="14097" width="10.85546875" customWidth="1"/>
    <col min="14098" max="14098" width="0" hidden="1" customWidth="1"/>
    <col min="14099" max="14099" width="11.7109375" customWidth="1"/>
    <col min="14101" max="14104" width="0" hidden="1" customWidth="1"/>
    <col min="14338" max="14338" width="6.28515625" customWidth="1"/>
    <col min="14339" max="14339" width="26.42578125" customWidth="1"/>
    <col min="14343" max="14343" width="7" customWidth="1"/>
    <col min="14344" max="14344" width="10.42578125" customWidth="1"/>
    <col min="14345" max="14345" width="6.42578125" bestFit="1" customWidth="1"/>
    <col min="14346" max="14346" width="9.28515625" bestFit="1" customWidth="1"/>
    <col min="14347" max="14347" width="9.28515625" customWidth="1"/>
    <col min="14348" max="14348" width="7.28515625" customWidth="1"/>
    <col min="14349" max="14349" width="11" customWidth="1"/>
    <col min="14350" max="14350" width="0" hidden="1" customWidth="1"/>
    <col min="14351" max="14351" width="7.28515625" customWidth="1"/>
    <col min="14352" max="14352" width="8.7109375" customWidth="1"/>
    <col min="14353" max="14353" width="10.85546875" customWidth="1"/>
    <col min="14354" max="14354" width="0" hidden="1" customWidth="1"/>
    <col min="14355" max="14355" width="11.7109375" customWidth="1"/>
    <col min="14357" max="14360" width="0" hidden="1" customWidth="1"/>
    <col min="14594" max="14594" width="6.28515625" customWidth="1"/>
    <col min="14595" max="14595" width="26.42578125" customWidth="1"/>
    <col min="14599" max="14599" width="7" customWidth="1"/>
    <col min="14600" max="14600" width="10.42578125" customWidth="1"/>
    <col min="14601" max="14601" width="6.42578125" bestFit="1" customWidth="1"/>
    <col min="14602" max="14602" width="9.28515625" bestFit="1" customWidth="1"/>
    <col min="14603" max="14603" width="9.28515625" customWidth="1"/>
    <col min="14604" max="14604" width="7.28515625" customWidth="1"/>
    <col min="14605" max="14605" width="11" customWidth="1"/>
    <col min="14606" max="14606" width="0" hidden="1" customWidth="1"/>
    <col min="14607" max="14607" width="7.28515625" customWidth="1"/>
    <col min="14608" max="14608" width="8.7109375" customWidth="1"/>
    <col min="14609" max="14609" width="10.85546875" customWidth="1"/>
    <col min="14610" max="14610" width="0" hidden="1" customWidth="1"/>
    <col min="14611" max="14611" width="11.7109375" customWidth="1"/>
    <col min="14613" max="14616" width="0" hidden="1" customWidth="1"/>
    <col min="14850" max="14850" width="6.28515625" customWidth="1"/>
    <col min="14851" max="14851" width="26.42578125" customWidth="1"/>
    <col min="14855" max="14855" width="7" customWidth="1"/>
    <col min="14856" max="14856" width="10.42578125" customWidth="1"/>
    <col min="14857" max="14857" width="6.42578125" bestFit="1" customWidth="1"/>
    <col min="14858" max="14858" width="9.28515625" bestFit="1" customWidth="1"/>
    <col min="14859" max="14859" width="9.28515625" customWidth="1"/>
    <col min="14860" max="14860" width="7.28515625" customWidth="1"/>
    <col min="14861" max="14861" width="11" customWidth="1"/>
    <col min="14862" max="14862" width="0" hidden="1" customWidth="1"/>
    <col min="14863" max="14863" width="7.28515625" customWidth="1"/>
    <col min="14864" max="14864" width="8.7109375" customWidth="1"/>
    <col min="14865" max="14865" width="10.85546875" customWidth="1"/>
    <col min="14866" max="14866" width="0" hidden="1" customWidth="1"/>
    <col min="14867" max="14867" width="11.7109375" customWidth="1"/>
    <col min="14869" max="14872" width="0" hidden="1" customWidth="1"/>
    <col min="15106" max="15106" width="6.28515625" customWidth="1"/>
    <col min="15107" max="15107" width="26.42578125" customWidth="1"/>
    <col min="15111" max="15111" width="7" customWidth="1"/>
    <col min="15112" max="15112" width="10.42578125" customWidth="1"/>
    <col min="15113" max="15113" width="6.42578125" bestFit="1" customWidth="1"/>
    <col min="15114" max="15114" width="9.28515625" bestFit="1" customWidth="1"/>
    <col min="15115" max="15115" width="9.28515625" customWidth="1"/>
    <col min="15116" max="15116" width="7.28515625" customWidth="1"/>
    <col min="15117" max="15117" width="11" customWidth="1"/>
    <col min="15118" max="15118" width="0" hidden="1" customWidth="1"/>
    <col min="15119" max="15119" width="7.28515625" customWidth="1"/>
    <col min="15120" max="15120" width="8.7109375" customWidth="1"/>
    <col min="15121" max="15121" width="10.85546875" customWidth="1"/>
    <col min="15122" max="15122" width="0" hidden="1" customWidth="1"/>
    <col min="15123" max="15123" width="11.7109375" customWidth="1"/>
    <col min="15125" max="15128" width="0" hidden="1" customWidth="1"/>
    <col min="15362" max="15362" width="6.28515625" customWidth="1"/>
    <col min="15363" max="15363" width="26.42578125" customWidth="1"/>
    <col min="15367" max="15367" width="7" customWidth="1"/>
    <col min="15368" max="15368" width="10.42578125" customWidth="1"/>
    <col min="15369" max="15369" width="6.42578125" bestFit="1" customWidth="1"/>
    <col min="15370" max="15370" width="9.28515625" bestFit="1" customWidth="1"/>
    <col min="15371" max="15371" width="9.28515625" customWidth="1"/>
    <col min="15372" max="15372" width="7.28515625" customWidth="1"/>
    <col min="15373" max="15373" width="11" customWidth="1"/>
    <col min="15374" max="15374" width="0" hidden="1" customWidth="1"/>
    <col min="15375" max="15375" width="7.28515625" customWidth="1"/>
    <col min="15376" max="15376" width="8.7109375" customWidth="1"/>
    <col min="15377" max="15377" width="10.85546875" customWidth="1"/>
    <col min="15378" max="15378" width="0" hidden="1" customWidth="1"/>
    <col min="15379" max="15379" width="11.7109375" customWidth="1"/>
    <col min="15381" max="15384" width="0" hidden="1" customWidth="1"/>
    <col min="15618" max="15618" width="6.28515625" customWidth="1"/>
    <col min="15619" max="15619" width="26.42578125" customWidth="1"/>
    <col min="15623" max="15623" width="7" customWidth="1"/>
    <col min="15624" max="15624" width="10.42578125" customWidth="1"/>
    <col min="15625" max="15625" width="6.42578125" bestFit="1" customWidth="1"/>
    <col min="15626" max="15626" width="9.28515625" bestFit="1" customWidth="1"/>
    <col min="15627" max="15627" width="9.28515625" customWidth="1"/>
    <col min="15628" max="15628" width="7.28515625" customWidth="1"/>
    <col min="15629" max="15629" width="11" customWidth="1"/>
    <col min="15630" max="15630" width="0" hidden="1" customWidth="1"/>
    <col min="15631" max="15631" width="7.28515625" customWidth="1"/>
    <col min="15632" max="15632" width="8.7109375" customWidth="1"/>
    <col min="15633" max="15633" width="10.85546875" customWidth="1"/>
    <col min="15634" max="15634" width="0" hidden="1" customWidth="1"/>
    <col min="15635" max="15635" width="11.7109375" customWidth="1"/>
    <col min="15637" max="15640" width="0" hidden="1" customWidth="1"/>
    <col min="15874" max="15874" width="6.28515625" customWidth="1"/>
    <col min="15875" max="15875" width="26.42578125" customWidth="1"/>
    <col min="15879" max="15879" width="7" customWidth="1"/>
    <col min="15880" max="15880" width="10.42578125" customWidth="1"/>
    <col min="15881" max="15881" width="6.42578125" bestFit="1" customWidth="1"/>
    <col min="15882" max="15882" width="9.28515625" bestFit="1" customWidth="1"/>
    <col min="15883" max="15883" width="9.28515625" customWidth="1"/>
    <col min="15884" max="15884" width="7.28515625" customWidth="1"/>
    <col min="15885" max="15885" width="11" customWidth="1"/>
    <col min="15886" max="15886" width="0" hidden="1" customWidth="1"/>
    <col min="15887" max="15887" width="7.28515625" customWidth="1"/>
    <col min="15888" max="15888" width="8.7109375" customWidth="1"/>
    <col min="15889" max="15889" width="10.85546875" customWidth="1"/>
    <col min="15890" max="15890" width="0" hidden="1" customWidth="1"/>
    <col min="15891" max="15891" width="11.7109375" customWidth="1"/>
    <col min="15893" max="15896" width="0" hidden="1" customWidth="1"/>
    <col min="16130" max="16130" width="6.28515625" customWidth="1"/>
    <col min="16131" max="16131" width="26.42578125" customWidth="1"/>
    <col min="16135" max="16135" width="7" customWidth="1"/>
    <col min="16136" max="16136" width="10.42578125" customWidth="1"/>
    <col min="16137" max="16137" width="6.42578125" bestFit="1" customWidth="1"/>
    <col min="16138" max="16138" width="9.28515625" bestFit="1" customWidth="1"/>
    <col min="16139" max="16139" width="9.28515625" customWidth="1"/>
    <col min="16140" max="16140" width="7.28515625" customWidth="1"/>
    <col min="16141" max="16141" width="11" customWidth="1"/>
    <col min="16142" max="16142" width="0" hidden="1" customWidth="1"/>
    <col min="16143" max="16143" width="7.28515625" customWidth="1"/>
    <col min="16144" max="16144" width="8.7109375" customWidth="1"/>
    <col min="16145" max="16145" width="10.85546875" customWidth="1"/>
    <col min="16146" max="16146" width="0" hidden="1" customWidth="1"/>
    <col min="16147" max="16147" width="11.7109375" customWidth="1"/>
    <col min="16149" max="16152" width="0" hidden="1" customWidth="1"/>
  </cols>
  <sheetData>
    <row r="1" spans="1:26">
      <c r="A1" s="9"/>
      <c r="B1" s="9"/>
      <c r="C1" s="15"/>
      <c r="D1" s="15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" t="s">
        <v>0</v>
      </c>
      <c r="S1" s="1" t="s">
        <v>0</v>
      </c>
    </row>
    <row r="2" spans="1:26">
      <c r="A2" s="9"/>
      <c r="B2" s="9"/>
      <c r="C2" s="15"/>
      <c r="D2" s="15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" t="s">
        <v>29</v>
      </c>
      <c r="S2" s="1" t="s">
        <v>61</v>
      </c>
    </row>
    <row r="3" spans="1:26">
      <c r="A3" s="9"/>
      <c r="B3" s="9"/>
      <c r="C3" s="15"/>
      <c r="D3" s="15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" t="s">
        <v>30</v>
      </c>
      <c r="S3" s="1" t="s">
        <v>30</v>
      </c>
    </row>
    <row r="4" spans="1:26">
      <c r="A4" s="9"/>
      <c r="B4" s="9"/>
      <c r="C4" s="15"/>
      <c r="D4" s="15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" t="s">
        <v>24</v>
      </c>
      <c r="S4" s="1" t="s">
        <v>24</v>
      </c>
    </row>
    <row r="5" spans="1:26">
      <c r="A5" s="9"/>
      <c r="B5" s="9"/>
      <c r="C5" s="15"/>
      <c r="D5" s="15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1" t="s">
        <v>47</v>
      </c>
    </row>
    <row r="6" spans="1:26">
      <c r="A6" s="535" t="s">
        <v>51</v>
      </c>
      <c r="B6" s="536"/>
      <c r="C6" s="536"/>
      <c r="D6" s="536"/>
      <c r="E6" s="536"/>
      <c r="F6" s="536"/>
      <c r="G6" s="536"/>
      <c r="H6" s="536"/>
      <c r="I6" s="536"/>
      <c r="J6" s="536"/>
      <c r="K6" s="536"/>
      <c r="L6" s="536"/>
      <c r="M6" s="536"/>
      <c r="N6" s="536"/>
      <c r="O6" s="536"/>
      <c r="P6" s="536"/>
      <c r="Q6" s="536"/>
      <c r="R6" s="536"/>
      <c r="S6" s="536"/>
    </row>
    <row r="7" spans="1:26" ht="13.5" thickBot="1">
      <c r="A7" s="9"/>
      <c r="B7" s="9"/>
      <c r="C7" s="15"/>
      <c r="D7" s="15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26" ht="13.15" customHeight="1">
      <c r="A8" s="537"/>
      <c r="B8" s="539" t="s">
        <v>31</v>
      </c>
      <c r="C8" s="541" t="s">
        <v>32</v>
      </c>
      <c r="D8" s="544" t="s">
        <v>50</v>
      </c>
      <c r="E8" s="541" t="s">
        <v>33</v>
      </c>
      <c r="F8" s="541" t="s">
        <v>34</v>
      </c>
      <c r="G8" s="544" t="s">
        <v>35</v>
      </c>
      <c r="H8" s="541" t="s">
        <v>36</v>
      </c>
      <c r="I8" s="541" t="s">
        <v>37</v>
      </c>
      <c r="J8" s="541"/>
      <c r="K8" s="533" t="s">
        <v>38</v>
      </c>
      <c r="L8" s="549" t="s">
        <v>39</v>
      </c>
      <c r="M8" s="550"/>
      <c r="N8" s="553" t="s">
        <v>48</v>
      </c>
      <c r="O8" s="529" t="s">
        <v>40</v>
      </c>
      <c r="P8" s="530"/>
      <c r="Q8" s="533" t="s">
        <v>41</v>
      </c>
      <c r="R8" s="533" t="s">
        <v>42</v>
      </c>
      <c r="S8" s="547" t="s">
        <v>43</v>
      </c>
    </row>
    <row r="9" spans="1:26">
      <c r="A9" s="538"/>
      <c r="B9" s="540"/>
      <c r="C9" s="542"/>
      <c r="D9" s="545"/>
      <c r="E9" s="542"/>
      <c r="F9" s="542"/>
      <c r="G9" s="545"/>
      <c r="H9" s="542"/>
      <c r="I9" s="542"/>
      <c r="J9" s="542"/>
      <c r="K9" s="534"/>
      <c r="L9" s="551"/>
      <c r="M9" s="552"/>
      <c r="N9" s="554"/>
      <c r="O9" s="531"/>
      <c r="P9" s="532"/>
      <c r="Q9" s="534"/>
      <c r="R9" s="534"/>
      <c r="S9" s="548"/>
    </row>
    <row r="10" spans="1:26" ht="33" customHeight="1">
      <c r="A10" s="538"/>
      <c r="B10" s="540"/>
      <c r="C10" s="543"/>
      <c r="D10" s="546"/>
      <c r="E10" s="543"/>
      <c r="F10" s="543"/>
      <c r="G10" s="545"/>
      <c r="H10" s="543"/>
      <c r="I10" s="16" t="s">
        <v>5</v>
      </c>
      <c r="J10" s="16" t="s">
        <v>44</v>
      </c>
      <c r="K10" s="534"/>
      <c r="L10" s="17" t="s">
        <v>5</v>
      </c>
      <c r="M10" s="17" t="s">
        <v>44</v>
      </c>
      <c r="N10" s="554"/>
      <c r="O10" s="16" t="s">
        <v>5</v>
      </c>
      <c r="P10" s="16" t="s">
        <v>44</v>
      </c>
      <c r="Q10" s="534"/>
      <c r="R10" s="534"/>
      <c r="S10" s="548"/>
      <c r="U10" t="s">
        <v>49</v>
      </c>
    </row>
    <row r="11" spans="1:26" s="4" customFormat="1">
      <c r="A11" s="30">
        <v>1</v>
      </c>
      <c r="B11" s="30">
        <v>2</v>
      </c>
      <c r="C11" s="30">
        <v>3</v>
      </c>
      <c r="D11" s="30"/>
      <c r="E11" s="30">
        <v>4</v>
      </c>
      <c r="F11" s="30">
        <v>5</v>
      </c>
      <c r="G11" s="30">
        <v>6</v>
      </c>
      <c r="H11" s="30">
        <v>7</v>
      </c>
      <c r="I11" s="30">
        <v>8</v>
      </c>
      <c r="J11" s="30">
        <v>9</v>
      </c>
      <c r="K11" s="30">
        <v>10</v>
      </c>
      <c r="L11" s="30">
        <v>11</v>
      </c>
      <c r="M11" s="30">
        <v>12</v>
      </c>
      <c r="N11" s="30">
        <v>13</v>
      </c>
      <c r="O11" s="30">
        <v>14</v>
      </c>
      <c r="P11" s="30">
        <v>15</v>
      </c>
      <c r="Q11" s="30">
        <v>16</v>
      </c>
      <c r="R11" s="30">
        <v>17</v>
      </c>
      <c r="S11" s="30">
        <v>18</v>
      </c>
      <c r="T11"/>
    </row>
    <row r="12" spans="1:26">
      <c r="A12" s="18">
        <v>1</v>
      </c>
      <c r="B12" s="19" t="s">
        <v>52</v>
      </c>
      <c r="C12" s="19">
        <v>1</v>
      </c>
      <c r="D12" s="19"/>
      <c r="E12" s="19">
        <v>5000</v>
      </c>
      <c r="F12" s="19">
        <v>2.5</v>
      </c>
      <c r="G12" s="19">
        <v>1.1000000000000001</v>
      </c>
      <c r="H12" s="20">
        <f>E12*F12*G12</f>
        <v>13750.000000000002</v>
      </c>
      <c r="I12" s="20">
        <v>40</v>
      </c>
      <c r="J12" s="21">
        <f>+H12*I12/100</f>
        <v>5500.0000000000009</v>
      </c>
      <c r="K12" s="20">
        <v>1200</v>
      </c>
      <c r="L12" s="20"/>
      <c r="M12" s="20">
        <f>H12*L12/100</f>
        <v>0</v>
      </c>
      <c r="N12" s="20">
        <v>0</v>
      </c>
      <c r="O12" s="20">
        <v>0</v>
      </c>
      <c r="P12" s="20"/>
      <c r="Q12" s="22">
        <f>H12+J12+K12+M12+N12+P12</f>
        <v>20450.000000000004</v>
      </c>
      <c r="R12" s="22">
        <f>Q12*C12</f>
        <v>20450.000000000004</v>
      </c>
      <c r="S12" s="23">
        <f>R12*8</f>
        <v>163600.00000000003</v>
      </c>
      <c r="T12">
        <f>+Q12*6</f>
        <v>122700.00000000003</v>
      </c>
      <c r="U12" s="24">
        <v>346206</v>
      </c>
      <c r="Y12" s="29">
        <f>+S12-T12</f>
        <v>40900</v>
      </c>
      <c r="Z12">
        <f>T12*0.1725</f>
        <v>21165.750000000004</v>
      </c>
    </row>
    <row r="13" spans="1:26">
      <c r="A13" s="18">
        <v>2</v>
      </c>
      <c r="B13" s="19" t="s">
        <v>45</v>
      </c>
      <c r="C13" s="19">
        <v>1</v>
      </c>
      <c r="D13" s="19"/>
      <c r="E13" s="19">
        <v>5000</v>
      </c>
      <c r="F13" s="19">
        <v>2.0699999999999998</v>
      </c>
      <c r="G13" s="19">
        <v>1.1000000000000001</v>
      </c>
      <c r="H13" s="20">
        <f t="shared" ref="H13" si="0">E13*F13*G13</f>
        <v>11385.000000000002</v>
      </c>
      <c r="I13" s="20">
        <v>40</v>
      </c>
      <c r="J13" s="21">
        <f t="shared" ref="J13" si="1">+H13*I13/100</f>
        <v>4554.0000000000009</v>
      </c>
      <c r="K13" s="20">
        <v>800</v>
      </c>
      <c r="L13" s="20"/>
      <c r="M13" s="20">
        <f t="shared" ref="M13" si="2">H13*L13/100</f>
        <v>0</v>
      </c>
      <c r="N13" s="20">
        <v>0</v>
      </c>
      <c r="O13" s="20">
        <v>0</v>
      </c>
      <c r="P13" s="20"/>
      <c r="Q13" s="22">
        <f t="shared" ref="Q13" si="3">H13+J13+K13+M13+N13+P13</f>
        <v>16739.000000000004</v>
      </c>
      <c r="R13" s="22">
        <f t="shared" ref="R13" si="4">Q13*C13</f>
        <v>16739.000000000004</v>
      </c>
      <c r="S13" s="23">
        <f t="shared" ref="S13" si="5">R13*8</f>
        <v>133912.00000000003</v>
      </c>
      <c r="T13">
        <f>+Q13*6</f>
        <v>100434.00000000003</v>
      </c>
      <c r="U13" s="25">
        <v>227227</v>
      </c>
      <c r="Y13" s="29">
        <f>+S13-T13</f>
        <v>33478</v>
      </c>
      <c r="Z13">
        <f>T13*0.1725</f>
        <v>17324.865000000005</v>
      </c>
    </row>
    <row r="14" spans="1:26">
      <c r="A14" s="26"/>
      <c r="B14" s="26" t="s">
        <v>46</v>
      </c>
      <c r="C14" s="27">
        <f>SUM(C12:C13)</f>
        <v>2</v>
      </c>
      <c r="D14" s="27"/>
      <c r="E14" s="27"/>
      <c r="F14" s="27"/>
      <c r="G14" s="27"/>
      <c r="H14" s="12">
        <f>SUM(H12:H13)</f>
        <v>25135.000000000004</v>
      </c>
      <c r="I14" s="12"/>
      <c r="J14" s="12">
        <f>SUM(J12:J13)</f>
        <v>10054.000000000002</v>
      </c>
      <c r="K14" s="12">
        <f>SUM(K12:K13)</f>
        <v>2000</v>
      </c>
      <c r="L14" s="12"/>
      <c r="M14" s="12">
        <f t="shared" ref="M14:S14" si="6">SUM(M12:M13)</f>
        <v>0</v>
      </c>
      <c r="N14" s="12">
        <f t="shared" si="6"/>
        <v>0</v>
      </c>
      <c r="O14" s="12">
        <f t="shared" si="6"/>
        <v>0</v>
      </c>
      <c r="P14" s="12">
        <f t="shared" si="6"/>
        <v>0</v>
      </c>
      <c r="Q14" s="12">
        <f t="shared" si="6"/>
        <v>37189.000000000007</v>
      </c>
      <c r="R14" s="12">
        <f t="shared" si="6"/>
        <v>37189.000000000007</v>
      </c>
      <c r="S14" s="12">
        <f t="shared" si="6"/>
        <v>297512.00000000006</v>
      </c>
      <c r="T14" s="39">
        <f>SUM(T12:T13)</f>
        <v>223134.00000000006</v>
      </c>
      <c r="U14" s="28">
        <v>2136890</v>
      </c>
      <c r="V14" s="29">
        <f>+S14-U14</f>
        <v>-1839378</v>
      </c>
      <c r="Y14" s="39">
        <f>SUM(Y12:Y13)</f>
        <v>74378</v>
      </c>
      <c r="Z14">
        <f>SUM(Z12:Z13)</f>
        <v>38490.615000000005</v>
      </c>
    </row>
    <row r="15" spans="1:26">
      <c r="B15" s="14"/>
      <c r="S15" s="13">
        <f>+Q14*12*0.1725</f>
        <v>76981.23000000001</v>
      </c>
    </row>
    <row r="16" spans="1:26">
      <c r="B16" s="14"/>
      <c r="S16">
        <f>+S15/2</f>
        <v>38490.615000000005</v>
      </c>
    </row>
    <row r="17" spans="2:19">
      <c r="B17" s="5" t="s">
        <v>14</v>
      </c>
    </row>
    <row r="18" spans="2:19">
      <c r="S18" s="29"/>
    </row>
    <row r="19" spans="2:19">
      <c r="S19" s="29"/>
    </row>
  </sheetData>
  <mergeCells count="17">
    <mergeCell ref="N8:N10"/>
    <mergeCell ref="O8:P9"/>
    <mergeCell ref="Q8:Q10"/>
    <mergeCell ref="R8:R10"/>
    <mergeCell ref="A6:S6"/>
    <mergeCell ref="A8:A10"/>
    <mergeCell ref="B8:B10"/>
    <mergeCell ref="C8:C10"/>
    <mergeCell ref="D8:D10"/>
    <mergeCell ref="E8:E10"/>
    <mergeCell ref="F8:F10"/>
    <mergeCell ref="G8:G10"/>
    <mergeCell ref="H8:H10"/>
    <mergeCell ref="I8:J9"/>
    <mergeCell ref="S8:S10"/>
    <mergeCell ref="K8:K10"/>
    <mergeCell ref="L8:M9"/>
  </mergeCells>
  <printOptions horizontalCentered="1"/>
  <pageMargins left="0.31496062992125984" right="0.11811023622047245" top="0.74803149606299213" bottom="0.74803149606299213" header="0.31496062992125984" footer="0.31496062992125984"/>
  <pageSetup paperSize="9" scale="9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F6:O40"/>
  <sheetViews>
    <sheetView workbookViewId="0">
      <selection activeCell="N12" sqref="N12"/>
    </sheetView>
  </sheetViews>
  <sheetFormatPr defaultRowHeight="12.75"/>
  <cols>
    <col min="7" max="7" width="10.7109375" customWidth="1"/>
    <col min="11" max="12" width="12.28515625" customWidth="1"/>
    <col min="13" max="13" width="13.7109375" customWidth="1"/>
    <col min="14" max="14" width="44.7109375" customWidth="1"/>
  </cols>
  <sheetData>
    <row r="6" spans="6:15">
      <c r="F6" s="169">
        <f>SUM(F8:F39)</f>
        <v>50</v>
      </c>
      <c r="G6" s="169">
        <f t="shared" ref="G6:J6" si="0">SUM(G8:G39)</f>
        <v>0</v>
      </c>
      <c r="H6" s="169">
        <f t="shared" si="0"/>
        <v>2100</v>
      </c>
      <c r="I6" s="169">
        <f t="shared" si="0"/>
        <v>0</v>
      </c>
      <c r="J6" s="169">
        <f t="shared" si="0"/>
        <v>2950</v>
      </c>
      <c r="K6" s="169">
        <f>SUM(K8:K39)</f>
        <v>1900</v>
      </c>
      <c r="L6" s="169">
        <f>SUM(F6:K6)</f>
        <v>7000</v>
      </c>
    </row>
    <row r="7" spans="6:15">
      <c r="F7" t="s">
        <v>316</v>
      </c>
      <c r="G7" t="s">
        <v>313</v>
      </c>
      <c r="H7" t="s">
        <v>312</v>
      </c>
      <c r="I7" t="s">
        <v>310</v>
      </c>
      <c r="J7" t="s">
        <v>306</v>
      </c>
      <c r="K7" t="s">
        <v>307</v>
      </c>
      <c r="L7" t="s">
        <v>321</v>
      </c>
    </row>
    <row r="8" spans="6:15">
      <c r="J8">
        <v>700</v>
      </c>
      <c r="L8" s="295">
        <f>SUM(A8:K8)</f>
        <v>700</v>
      </c>
      <c r="M8" t="s">
        <v>308</v>
      </c>
      <c r="N8" t="s">
        <v>325</v>
      </c>
      <c r="O8">
        <v>3122</v>
      </c>
    </row>
    <row r="9" spans="6:15">
      <c r="J9">
        <v>700</v>
      </c>
      <c r="L9" s="295">
        <f t="shared" ref="L9:L39" si="1">SUM(A9:K9)</f>
        <v>700</v>
      </c>
      <c r="M9" t="s">
        <v>326</v>
      </c>
      <c r="N9" t="s">
        <v>325</v>
      </c>
      <c r="O9">
        <v>3122</v>
      </c>
    </row>
    <row r="10" spans="6:15">
      <c r="K10">
        <v>700</v>
      </c>
      <c r="L10" s="295">
        <f t="shared" si="1"/>
        <v>700</v>
      </c>
      <c r="M10" t="s">
        <v>309</v>
      </c>
      <c r="N10" t="s">
        <v>357</v>
      </c>
    </row>
    <row r="11" spans="6:15">
      <c r="J11">
        <v>200</v>
      </c>
      <c r="L11" s="295">
        <f t="shared" si="1"/>
        <v>200</v>
      </c>
      <c r="M11" t="s">
        <v>311</v>
      </c>
      <c r="N11" t="s">
        <v>433</v>
      </c>
    </row>
    <row r="12" spans="6:15">
      <c r="H12">
        <v>300</v>
      </c>
      <c r="L12" s="295">
        <f t="shared" si="1"/>
        <v>300</v>
      </c>
      <c r="M12" t="s">
        <v>311</v>
      </c>
      <c r="N12" t="s">
        <v>324</v>
      </c>
    </row>
    <row r="13" spans="6:15">
      <c r="K13">
        <v>200</v>
      </c>
      <c r="L13" s="295">
        <f t="shared" si="1"/>
        <v>200</v>
      </c>
      <c r="M13" t="s">
        <v>311</v>
      </c>
      <c r="N13" t="s">
        <v>336</v>
      </c>
    </row>
    <row r="14" spans="6:15">
      <c r="H14">
        <v>700</v>
      </c>
      <c r="L14" s="295">
        <f t="shared" si="1"/>
        <v>700</v>
      </c>
      <c r="M14" t="s">
        <v>315</v>
      </c>
      <c r="N14" t="s">
        <v>314</v>
      </c>
    </row>
    <row r="15" spans="6:15">
      <c r="F15">
        <v>50</v>
      </c>
      <c r="L15" s="295">
        <f t="shared" si="1"/>
        <v>50</v>
      </c>
      <c r="M15" t="s">
        <v>317</v>
      </c>
      <c r="N15" t="s">
        <v>333</v>
      </c>
      <c r="O15" t="s">
        <v>318</v>
      </c>
    </row>
    <row r="16" spans="6:15">
      <c r="L16" s="295">
        <f t="shared" si="1"/>
        <v>0</v>
      </c>
      <c r="M16" t="s">
        <v>317</v>
      </c>
      <c r="O16" t="s">
        <v>318</v>
      </c>
    </row>
    <row r="17" spans="7:14">
      <c r="J17">
        <v>500</v>
      </c>
      <c r="L17" s="295">
        <f t="shared" si="1"/>
        <v>500</v>
      </c>
      <c r="M17" t="s">
        <v>317</v>
      </c>
      <c r="N17" t="s">
        <v>334</v>
      </c>
    </row>
    <row r="18" spans="7:14">
      <c r="H18">
        <v>400</v>
      </c>
      <c r="L18" s="295">
        <f t="shared" si="1"/>
        <v>400</v>
      </c>
      <c r="M18" t="s">
        <v>319</v>
      </c>
      <c r="N18" t="s">
        <v>314</v>
      </c>
    </row>
    <row r="19" spans="7:14">
      <c r="J19">
        <v>300</v>
      </c>
      <c r="L19" s="295">
        <f t="shared" si="1"/>
        <v>300</v>
      </c>
      <c r="M19" t="s">
        <v>319</v>
      </c>
      <c r="N19" t="s">
        <v>328</v>
      </c>
    </row>
    <row r="20" spans="7:14">
      <c r="K20">
        <v>300</v>
      </c>
      <c r="L20" s="295">
        <f t="shared" si="1"/>
        <v>300</v>
      </c>
      <c r="M20" t="s">
        <v>320</v>
      </c>
      <c r="N20" t="s">
        <v>331</v>
      </c>
    </row>
    <row r="21" spans="7:14">
      <c r="J21">
        <v>250</v>
      </c>
      <c r="L21" s="295">
        <f t="shared" si="1"/>
        <v>250</v>
      </c>
      <c r="M21" t="s">
        <v>427</v>
      </c>
      <c r="N21" t="s">
        <v>332</v>
      </c>
    </row>
    <row r="22" spans="7:14">
      <c r="J22">
        <v>300</v>
      </c>
      <c r="L22" s="295">
        <f t="shared" si="1"/>
        <v>300</v>
      </c>
      <c r="M22" t="s">
        <v>320</v>
      </c>
      <c r="N22" t="s">
        <v>329</v>
      </c>
    </row>
    <row r="23" spans="7:14">
      <c r="H23">
        <v>700</v>
      </c>
      <c r="L23" s="295">
        <f t="shared" si="1"/>
        <v>700</v>
      </c>
      <c r="M23" t="s">
        <v>322</v>
      </c>
      <c r="N23" t="s">
        <v>314</v>
      </c>
    </row>
    <row r="24" spans="7:14">
      <c r="K24">
        <v>700</v>
      </c>
      <c r="L24" s="295">
        <f t="shared" si="1"/>
        <v>700</v>
      </c>
      <c r="M24" t="s">
        <v>327</v>
      </c>
      <c r="N24" t="s">
        <v>330</v>
      </c>
    </row>
    <row r="25" spans="7:14">
      <c r="L25" s="295">
        <f t="shared" si="1"/>
        <v>0</v>
      </c>
    </row>
    <row r="26" spans="7:14">
      <c r="L26" s="295">
        <f t="shared" si="1"/>
        <v>0</v>
      </c>
    </row>
    <row r="27" spans="7:14">
      <c r="L27" s="295">
        <f t="shared" si="1"/>
        <v>0</v>
      </c>
    </row>
    <row r="28" spans="7:14">
      <c r="L28" s="295">
        <f t="shared" si="1"/>
        <v>0</v>
      </c>
    </row>
    <row r="29" spans="7:14">
      <c r="G29" s="403"/>
      <c r="L29" s="295">
        <f t="shared" si="1"/>
        <v>0</v>
      </c>
    </row>
    <row r="30" spans="7:14">
      <c r="L30" s="295">
        <f t="shared" si="1"/>
        <v>0</v>
      </c>
    </row>
    <row r="31" spans="7:14">
      <c r="L31" s="295">
        <f t="shared" si="1"/>
        <v>0</v>
      </c>
    </row>
    <row r="32" spans="7:14">
      <c r="L32" s="295">
        <f t="shared" si="1"/>
        <v>0</v>
      </c>
    </row>
    <row r="33" spans="11:13">
      <c r="L33" s="295">
        <f t="shared" si="1"/>
        <v>0</v>
      </c>
    </row>
    <row r="34" spans="11:13">
      <c r="L34" s="295">
        <f t="shared" si="1"/>
        <v>0</v>
      </c>
    </row>
    <row r="35" spans="11:13">
      <c r="L35" s="295">
        <f t="shared" si="1"/>
        <v>0</v>
      </c>
    </row>
    <row r="36" spans="11:13">
      <c r="L36" s="295">
        <f t="shared" si="1"/>
        <v>0</v>
      </c>
    </row>
    <row r="37" spans="11:13">
      <c r="L37" s="295">
        <f t="shared" si="1"/>
        <v>0</v>
      </c>
    </row>
    <row r="38" spans="11:13">
      <c r="L38" s="295">
        <f t="shared" si="1"/>
        <v>0</v>
      </c>
    </row>
    <row r="39" spans="11:13">
      <c r="L39" s="295">
        <f t="shared" si="1"/>
        <v>0</v>
      </c>
    </row>
    <row r="40" spans="11:13">
      <c r="K40" s="169"/>
      <c r="L40" s="296">
        <f>SUM(L8:L39)</f>
        <v>7000</v>
      </c>
      <c r="M40" s="169" t="s">
        <v>321</v>
      </c>
    </row>
  </sheetData>
  <pageMargins left="0.7" right="0.7" top="0.75" bottom="0.75" header="0.3" footer="0.3"/>
  <pageSetup paperSize="9" scale="70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7"/>
  <sheetViews>
    <sheetView workbookViewId="0">
      <selection activeCell="B3" sqref="B3:B7"/>
    </sheetView>
  </sheetViews>
  <sheetFormatPr defaultRowHeight="12.75"/>
  <cols>
    <col min="1" max="1" width="3" bestFit="1" customWidth="1"/>
    <col min="2" max="2" width="29.5703125" customWidth="1"/>
    <col min="3" max="3" width="8.42578125" bestFit="1" customWidth="1"/>
    <col min="4" max="6" width="0" hidden="1" customWidth="1"/>
    <col min="7" max="7" width="12.5703125" customWidth="1"/>
    <col min="8" max="12" width="0" hidden="1" customWidth="1"/>
    <col min="13" max="13" width="9" customWidth="1"/>
    <col min="14" max="14" width="40" customWidth="1"/>
  </cols>
  <sheetData>
    <row r="3" spans="1:14">
      <c r="A3" s="428">
        <v>25</v>
      </c>
      <c r="B3" s="429" t="s">
        <v>150</v>
      </c>
      <c r="C3" s="6">
        <v>2511</v>
      </c>
      <c r="D3" s="100"/>
      <c r="E3" s="100"/>
      <c r="F3" s="100"/>
      <c r="G3" s="281"/>
      <c r="H3" s="281">
        <v>2500</v>
      </c>
      <c r="I3" s="281"/>
      <c r="J3" s="281"/>
      <c r="K3" s="283"/>
      <c r="L3" s="281"/>
      <c r="M3" s="285">
        <f t="shared" ref="M3" si="0">H3+I3+K3</f>
        <v>2500</v>
      </c>
      <c r="N3" s="263" t="s">
        <v>245</v>
      </c>
    </row>
    <row r="4" spans="1:14" ht="25.5">
      <c r="A4" s="418"/>
      <c r="B4" s="455"/>
      <c r="C4" s="6">
        <v>2511</v>
      </c>
      <c r="D4" s="100"/>
      <c r="E4" s="100"/>
      <c r="F4" s="100"/>
      <c r="G4" s="281"/>
      <c r="H4" s="281"/>
      <c r="I4" s="281"/>
      <c r="J4" s="281"/>
      <c r="K4" s="283"/>
      <c r="L4" s="281"/>
      <c r="M4" s="285">
        <v>700</v>
      </c>
      <c r="N4" s="263" t="s">
        <v>352</v>
      </c>
    </row>
    <row r="5" spans="1:14">
      <c r="A5" s="418"/>
      <c r="B5" s="455"/>
      <c r="C5" s="6">
        <v>2511</v>
      </c>
      <c r="D5" s="100"/>
      <c r="E5" s="100"/>
      <c r="F5" s="100"/>
      <c r="G5" s="281"/>
      <c r="H5" s="281"/>
      <c r="I5" s="281"/>
      <c r="J5" s="281"/>
      <c r="K5" s="283"/>
      <c r="L5" s="281"/>
      <c r="M5" s="285">
        <v>200</v>
      </c>
      <c r="N5" s="263" t="s">
        <v>351</v>
      </c>
    </row>
    <row r="6" spans="1:14" ht="25.5">
      <c r="A6" s="418"/>
      <c r="B6" s="455"/>
      <c r="C6" s="6">
        <v>2511</v>
      </c>
      <c r="D6" s="100"/>
      <c r="E6" s="100"/>
      <c r="F6" s="100"/>
      <c r="G6" s="281"/>
      <c r="H6" s="281"/>
      <c r="I6" s="281"/>
      <c r="J6" s="281"/>
      <c r="K6" s="283"/>
      <c r="L6" s="281"/>
      <c r="M6" s="285">
        <v>300</v>
      </c>
      <c r="N6" s="263" t="s">
        <v>350</v>
      </c>
    </row>
    <row r="7" spans="1:14" ht="25.5">
      <c r="A7" s="450"/>
      <c r="B7" s="430"/>
      <c r="C7" s="6">
        <v>2511</v>
      </c>
      <c r="D7" s="100"/>
      <c r="E7" s="100"/>
      <c r="F7" s="100"/>
      <c r="G7" s="281"/>
      <c r="H7" s="281"/>
      <c r="I7" s="281"/>
      <c r="J7" s="281"/>
      <c r="K7" s="283"/>
      <c r="L7" s="281"/>
      <c r="M7" s="285">
        <v>700</v>
      </c>
      <c r="N7" s="263" t="s">
        <v>353</v>
      </c>
    </row>
  </sheetData>
  <mergeCells count="2">
    <mergeCell ref="A3:A7"/>
    <mergeCell ref="B3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90"/>
  <sheetViews>
    <sheetView workbookViewId="0">
      <selection activeCell="F10" sqref="F10"/>
    </sheetView>
  </sheetViews>
  <sheetFormatPr defaultColWidth="9.140625" defaultRowHeight="12.75"/>
  <cols>
    <col min="1" max="1" width="3" style="48" bestFit="1" customWidth="1"/>
    <col min="2" max="2" width="32.85546875" style="48" customWidth="1"/>
    <col min="3" max="3" width="8.42578125" style="48" bestFit="1" customWidth="1"/>
    <col min="4" max="4" width="10.7109375" style="48" hidden="1" customWidth="1"/>
    <col min="5" max="5" width="8.7109375" style="48" hidden="1" customWidth="1"/>
    <col min="6" max="6" width="13.85546875" style="48" customWidth="1"/>
    <col min="7" max="7" width="11.5703125" style="48" customWidth="1"/>
    <col min="8" max="8" width="12" style="48" customWidth="1"/>
    <col min="9" max="9" width="11.5703125" style="48" customWidth="1"/>
    <col min="10" max="10" width="44.7109375" style="48" customWidth="1"/>
    <col min="11" max="12" width="9.5703125" style="48" hidden="1" customWidth="1"/>
    <col min="13" max="16" width="0" style="48" hidden="1" customWidth="1"/>
    <col min="17" max="16384" width="9.140625" style="48"/>
  </cols>
  <sheetData>
    <row r="3" spans="1:14" ht="27" customHeight="1">
      <c r="A3" s="425" t="s">
        <v>112</v>
      </c>
      <c r="B3" s="426"/>
      <c r="C3" s="426"/>
      <c r="D3" s="426"/>
      <c r="E3" s="426"/>
      <c r="F3" s="426"/>
      <c r="G3" s="426"/>
      <c r="H3" s="426"/>
      <c r="I3" s="426"/>
      <c r="J3" s="426"/>
    </row>
    <row r="4" spans="1:14" ht="70.5" customHeight="1">
      <c r="A4" s="104" t="s">
        <v>2</v>
      </c>
      <c r="B4" s="104" t="s">
        <v>25</v>
      </c>
      <c r="C4" s="104" t="s">
        <v>113</v>
      </c>
      <c r="D4" s="105" t="s">
        <v>26</v>
      </c>
      <c r="E4" s="105" t="s">
        <v>27</v>
      </c>
      <c r="F4" s="114" t="s">
        <v>169</v>
      </c>
      <c r="G4" s="114" t="s">
        <v>168</v>
      </c>
      <c r="H4" s="105" t="s">
        <v>91</v>
      </c>
      <c r="I4" s="105" t="s">
        <v>90</v>
      </c>
      <c r="J4" s="104" t="s">
        <v>114</v>
      </c>
      <c r="K4" s="49"/>
      <c r="L4" s="49"/>
    </row>
    <row r="5" spans="1:14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44">
        <v>6</v>
      </c>
      <c r="G5" s="44">
        <v>7</v>
      </c>
      <c r="H5" s="44">
        <v>8</v>
      </c>
      <c r="I5" s="44">
        <v>9</v>
      </c>
      <c r="J5" s="44">
        <v>10</v>
      </c>
      <c r="K5" s="49"/>
      <c r="L5" s="49"/>
      <c r="M5" s="50"/>
    </row>
    <row r="6" spans="1:14">
      <c r="A6" s="110"/>
      <c r="B6" s="431" t="s">
        <v>151</v>
      </c>
      <c r="C6" s="107">
        <v>2218</v>
      </c>
      <c r="D6" s="108"/>
      <c r="E6" s="109"/>
      <c r="F6" s="108"/>
      <c r="G6" s="109">
        <v>4788</v>
      </c>
      <c r="H6" s="108"/>
      <c r="I6" s="109"/>
      <c r="J6" s="111"/>
      <c r="M6" s="50"/>
      <c r="N6" s="51"/>
    </row>
    <row r="7" spans="1:14">
      <c r="A7" s="110"/>
      <c r="B7" s="432"/>
      <c r="C7" s="107">
        <v>2221</v>
      </c>
      <c r="D7" s="108"/>
      <c r="E7" s="109"/>
      <c r="F7" s="108"/>
      <c r="G7" s="109">
        <v>1308.4000000000001</v>
      </c>
      <c r="H7" s="108"/>
      <c r="I7" s="109"/>
      <c r="J7" s="111"/>
      <c r="M7" s="50"/>
      <c r="N7" s="51"/>
    </row>
    <row r="8" spans="1:14">
      <c r="A8" s="110"/>
      <c r="B8" s="432"/>
      <c r="C8" s="107">
        <v>2222</v>
      </c>
      <c r="D8" s="108"/>
      <c r="E8" s="109"/>
      <c r="F8" s="108"/>
      <c r="G8" s="109">
        <v>1036.4000000000001</v>
      </c>
      <c r="H8" s="108"/>
      <c r="I8" s="109"/>
      <c r="J8" s="111"/>
      <c r="M8" s="50"/>
      <c r="N8" s="51"/>
    </row>
    <row r="9" spans="1:14">
      <c r="A9" s="110"/>
      <c r="B9" s="433"/>
      <c r="C9" s="107">
        <v>3112</v>
      </c>
      <c r="D9" s="108"/>
      <c r="E9" s="109"/>
      <c r="F9" s="108"/>
      <c r="G9" s="109">
        <v>1071.9000000000001</v>
      </c>
      <c r="H9" s="108"/>
      <c r="I9" s="109"/>
      <c r="J9" s="111"/>
      <c r="M9" s="50"/>
      <c r="N9" s="51"/>
    </row>
    <row r="10" spans="1:14">
      <c r="A10" s="119"/>
      <c r="B10" s="434" t="s">
        <v>196</v>
      </c>
      <c r="C10" s="115">
        <v>2111</v>
      </c>
      <c r="D10" s="116"/>
      <c r="E10" s="117"/>
      <c r="F10" s="116">
        <v>500.1</v>
      </c>
      <c r="G10" s="117"/>
      <c r="H10" s="116"/>
      <c r="I10" s="117"/>
      <c r="J10" s="434" t="s">
        <v>199</v>
      </c>
      <c r="M10" s="50"/>
      <c r="N10" s="51"/>
    </row>
    <row r="11" spans="1:14">
      <c r="A11" s="119"/>
      <c r="B11" s="435"/>
      <c r="C11" s="115">
        <v>2121</v>
      </c>
      <c r="D11" s="116"/>
      <c r="E11" s="117"/>
      <c r="F11" s="116">
        <v>73.900000000000006</v>
      </c>
      <c r="G11" s="117"/>
      <c r="H11" s="116"/>
      <c r="I11" s="117"/>
      <c r="J11" s="436"/>
      <c r="M11" s="50"/>
      <c r="N11" s="51"/>
    </row>
    <row r="12" spans="1:14">
      <c r="A12" s="119"/>
      <c r="B12" s="435"/>
      <c r="C12" s="115">
        <v>2212</v>
      </c>
      <c r="D12" s="116"/>
      <c r="E12" s="117"/>
      <c r="F12" s="116"/>
      <c r="G12" s="116">
        <v>0.7</v>
      </c>
      <c r="H12" s="116"/>
      <c r="I12" s="117"/>
      <c r="J12" s="118" t="s">
        <v>200</v>
      </c>
      <c r="M12" s="50"/>
      <c r="N12" s="51"/>
    </row>
    <row r="13" spans="1:14">
      <c r="A13" s="119"/>
      <c r="B13" s="435"/>
      <c r="C13" s="115">
        <v>2215</v>
      </c>
      <c r="D13" s="116"/>
      <c r="E13" s="117"/>
      <c r="F13" s="116">
        <v>970</v>
      </c>
      <c r="G13" s="117"/>
      <c r="H13" s="116"/>
      <c r="I13" s="117"/>
      <c r="J13" s="118" t="s">
        <v>202</v>
      </c>
      <c r="M13" s="50"/>
      <c r="N13" s="51"/>
    </row>
    <row r="14" spans="1:14">
      <c r="A14" s="119"/>
      <c r="B14" s="435"/>
      <c r="C14" s="115">
        <v>2215</v>
      </c>
      <c r="D14" s="116"/>
      <c r="E14" s="117"/>
      <c r="F14" s="116"/>
      <c r="G14" s="117">
        <v>0.5</v>
      </c>
      <c r="H14" s="116"/>
      <c r="I14" s="117"/>
      <c r="J14" s="118" t="s">
        <v>201</v>
      </c>
      <c r="M14" s="50"/>
      <c r="N14" s="51"/>
    </row>
    <row r="15" spans="1:14">
      <c r="A15" s="119"/>
      <c r="B15" s="435"/>
      <c r="C15" s="115">
        <v>221549</v>
      </c>
      <c r="D15" s="116"/>
      <c r="E15" s="117"/>
      <c r="F15" s="116">
        <v>19.399999999999999</v>
      </c>
      <c r="G15" s="117"/>
      <c r="H15" s="116"/>
      <c r="I15" s="117"/>
      <c r="J15" s="118" t="s">
        <v>204</v>
      </c>
      <c r="M15" s="50"/>
      <c r="N15" s="51"/>
    </row>
    <row r="16" spans="1:14">
      <c r="A16" s="119"/>
      <c r="B16" s="435"/>
      <c r="C16" s="115">
        <v>221542</v>
      </c>
      <c r="D16" s="116"/>
      <c r="E16" s="117"/>
      <c r="F16" s="116">
        <v>40.299999999999997</v>
      </c>
      <c r="G16" s="117"/>
      <c r="H16" s="116"/>
      <c r="I16" s="117"/>
      <c r="J16" s="118" t="s">
        <v>203</v>
      </c>
      <c r="M16" s="50"/>
      <c r="N16" s="51"/>
    </row>
    <row r="17" spans="1:14">
      <c r="A17" s="119"/>
      <c r="B17" s="436"/>
      <c r="C17" s="115">
        <v>2822</v>
      </c>
      <c r="D17" s="116"/>
      <c r="E17" s="117"/>
      <c r="F17" s="116">
        <v>782.5</v>
      </c>
      <c r="G17" s="117"/>
      <c r="H17" s="116"/>
      <c r="I17" s="117"/>
      <c r="J17" s="118" t="s">
        <v>205</v>
      </c>
      <c r="M17" s="50"/>
      <c r="N17" s="51"/>
    </row>
    <row r="18" spans="1:14">
      <c r="A18" s="104"/>
      <c r="B18" s="8"/>
      <c r="C18" s="6"/>
      <c r="D18" s="99">
        <f>SUM(D6:D17)</f>
        <v>0</v>
      </c>
      <c r="E18" s="99">
        <f>SUM(E6:E17)</f>
        <v>0</v>
      </c>
      <c r="F18" s="99">
        <f t="shared" ref="F18:I18" si="0">SUM(F6:F17)</f>
        <v>2386.1999999999998</v>
      </c>
      <c r="G18" s="99">
        <f t="shared" si="0"/>
        <v>8205.9</v>
      </c>
      <c r="H18" s="99">
        <f t="shared" si="0"/>
        <v>0</v>
      </c>
      <c r="I18" s="99">
        <f t="shared" si="0"/>
        <v>0</v>
      </c>
      <c r="J18" s="7"/>
      <c r="L18" s="51"/>
      <c r="M18" s="50">
        <f>H18-E18</f>
        <v>0</v>
      </c>
      <c r="N18" s="51" t="e">
        <f>D18-#REF!</f>
        <v>#REF!</v>
      </c>
    </row>
    <row r="19" spans="1:14">
      <c r="A19" s="53"/>
      <c r="B19" s="42"/>
      <c r="C19" s="34"/>
      <c r="D19" s="103"/>
      <c r="E19" s="103">
        <f>D18-E18</f>
        <v>0</v>
      </c>
      <c r="F19" s="103"/>
      <c r="G19" s="103">
        <f>F18-G18</f>
        <v>-5819.7</v>
      </c>
      <c r="H19" s="103"/>
      <c r="I19" s="103">
        <f>H18-I18</f>
        <v>0</v>
      </c>
      <c r="J19" s="38"/>
    </row>
    <row r="20" spans="1:14">
      <c r="A20" s="53"/>
      <c r="B20" s="42"/>
      <c r="C20" s="34"/>
      <c r="D20" s="43"/>
      <c r="E20" s="43"/>
      <c r="F20" s="43"/>
      <c r="G20" s="43"/>
      <c r="H20" s="43"/>
      <c r="I20" s="43"/>
      <c r="J20" s="38"/>
      <c r="M20" s="50"/>
    </row>
    <row r="21" spans="1:14">
      <c r="E21" s="51"/>
      <c r="G21" s="51"/>
      <c r="I21" s="51"/>
    </row>
    <row r="22" spans="1:14">
      <c r="B22" s="46"/>
    </row>
    <row r="24" spans="1:14">
      <c r="A24" s="34"/>
      <c r="B24" s="53"/>
      <c r="C24" s="53"/>
      <c r="D24" s="45"/>
      <c r="E24" s="41"/>
      <c r="F24" s="45"/>
      <c r="G24" s="41"/>
      <c r="H24" s="45"/>
      <c r="I24" s="41"/>
      <c r="J24" s="42"/>
    </row>
    <row r="25" spans="1:14">
      <c r="A25" s="106"/>
      <c r="B25" s="106"/>
      <c r="C25" s="106"/>
      <c r="D25" s="106"/>
      <c r="E25" s="106"/>
      <c r="F25" s="106"/>
      <c r="G25" s="106"/>
      <c r="H25" s="106"/>
      <c r="I25" s="106"/>
      <c r="J25" s="106"/>
    </row>
    <row r="26" spans="1:14">
      <c r="A26" s="49"/>
      <c r="B26" s="49"/>
      <c r="C26" s="49"/>
      <c r="D26" s="49"/>
      <c r="E26" s="49"/>
      <c r="F26" s="49"/>
      <c r="G26" s="49"/>
      <c r="H26" s="49"/>
      <c r="I26" s="49"/>
      <c r="J26" s="49"/>
    </row>
    <row r="27" spans="1:14">
      <c r="A27" s="49"/>
      <c r="B27" s="49"/>
      <c r="C27" s="49"/>
      <c r="D27" s="49"/>
      <c r="E27" s="49"/>
      <c r="F27" s="49"/>
      <c r="G27" s="49"/>
      <c r="H27" s="49"/>
      <c r="I27" s="49"/>
      <c r="J27" s="49"/>
    </row>
    <row r="28" spans="1:14">
      <c r="A28" s="49"/>
      <c r="B28" s="49"/>
      <c r="C28" s="49"/>
      <c r="D28" s="49"/>
      <c r="E28" s="49"/>
      <c r="F28" s="49"/>
      <c r="G28" s="49"/>
      <c r="H28" s="49"/>
      <c r="I28" s="49"/>
      <c r="J28" s="49"/>
    </row>
    <row r="29" spans="1:14">
      <c r="A29" s="49"/>
      <c r="B29" s="49"/>
      <c r="C29" s="49"/>
      <c r="D29" s="49"/>
      <c r="E29" s="49"/>
      <c r="F29" s="49"/>
      <c r="G29" s="49"/>
      <c r="H29" s="49"/>
      <c r="I29" s="49"/>
      <c r="J29" s="49"/>
    </row>
    <row r="30" spans="1:14">
      <c r="A30" s="49"/>
      <c r="B30" s="49"/>
      <c r="C30" s="49"/>
      <c r="D30" s="49"/>
      <c r="E30" s="49"/>
      <c r="F30" s="49"/>
      <c r="G30" s="49"/>
      <c r="H30" s="49"/>
      <c r="I30" s="49"/>
      <c r="J30" s="49"/>
    </row>
    <row r="31" spans="1:14">
      <c r="A31" s="49"/>
      <c r="B31" s="49"/>
      <c r="C31" s="49"/>
      <c r="D31" s="49"/>
      <c r="E31" s="49"/>
      <c r="F31" s="49"/>
      <c r="G31" s="49"/>
      <c r="H31" s="49"/>
      <c r="I31" s="49"/>
      <c r="J31" s="49"/>
    </row>
    <row r="32" spans="1:14">
      <c r="A32" s="49"/>
      <c r="B32" s="49"/>
      <c r="C32" s="49"/>
      <c r="D32" s="49"/>
      <c r="E32" s="49"/>
      <c r="F32" s="49"/>
      <c r="G32" s="49"/>
      <c r="H32" s="49"/>
      <c r="I32" s="49"/>
      <c r="J32" s="49"/>
    </row>
    <row r="33" spans="1:10">
      <c r="A33" s="49"/>
      <c r="B33" s="49"/>
      <c r="C33" s="49"/>
      <c r="D33" s="49"/>
      <c r="E33" s="49"/>
      <c r="F33" s="49"/>
      <c r="G33" s="49"/>
      <c r="H33" s="49"/>
      <c r="I33" s="49"/>
      <c r="J33" s="49"/>
    </row>
    <row r="34" spans="1:10">
      <c r="A34" s="49"/>
      <c r="B34" s="49"/>
      <c r="C34" s="49"/>
      <c r="D34" s="49"/>
      <c r="E34" s="49"/>
      <c r="F34" s="49"/>
      <c r="G34" s="49"/>
      <c r="H34" s="49"/>
      <c r="I34" s="49"/>
      <c r="J34" s="49"/>
    </row>
    <row r="35" spans="1:10">
      <c r="A35" s="49"/>
      <c r="B35" s="49"/>
      <c r="C35" s="49"/>
      <c r="D35" s="49"/>
      <c r="E35" s="49"/>
      <c r="F35" s="49"/>
      <c r="G35" s="49"/>
      <c r="H35" s="49"/>
      <c r="I35" s="49"/>
      <c r="J35" s="49"/>
    </row>
    <row r="36" spans="1:10">
      <c r="A36" s="49"/>
      <c r="B36" s="49"/>
      <c r="C36" s="49"/>
      <c r="D36" s="49"/>
      <c r="E36" s="49"/>
      <c r="F36" s="49"/>
      <c r="G36" s="49"/>
      <c r="H36" s="49"/>
      <c r="I36" s="49"/>
      <c r="J36" s="49"/>
    </row>
    <row r="37" spans="1:10">
      <c r="A37" s="49"/>
      <c r="B37" s="49"/>
      <c r="C37" s="49"/>
      <c r="D37" s="49"/>
      <c r="E37" s="49"/>
      <c r="F37" s="49"/>
      <c r="G37" s="49"/>
      <c r="H37" s="49"/>
      <c r="I37" s="49"/>
      <c r="J37" s="49"/>
    </row>
    <row r="38" spans="1:10">
      <c r="A38" s="49"/>
      <c r="B38" s="49"/>
      <c r="C38" s="49"/>
      <c r="D38" s="49"/>
      <c r="E38" s="49"/>
      <c r="F38" s="49"/>
      <c r="G38" s="49"/>
      <c r="H38" s="49"/>
      <c r="I38" s="49"/>
      <c r="J38" s="49"/>
    </row>
    <row r="39" spans="1:10">
      <c r="A39" s="49"/>
      <c r="B39" s="49"/>
      <c r="C39" s="49"/>
      <c r="D39" s="49"/>
      <c r="E39" s="49"/>
      <c r="F39" s="49"/>
      <c r="G39" s="49"/>
      <c r="H39" s="49"/>
      <c r="I39" s="49"/>
      <c r="J39" s="49"/>
    </row>
    <row r="40" spans="1:10">
      <c r="A40" s="49"/>
      <c r="B40" s="49"/>
      <c r="C40" s="49"/>
      <c r="D40" s="49"/>
      <c r="E40" s="49"/>
      <c r="F40" s="49"/>
      <c r="G40" s="49"/>
      <c r="H40" s="49"/>
      <c r="I40" s="49"/>
      <c r="J40" s="49"/>
    </row>
    <row r="41" spans="1:10">
      <c r="A41" s="49"/>
      <c r="B41" s="49"/>
      <c r="C41" s="49"/>
      <c r="D41" s="49"/>
      <c r="E41" s="49"/>
      <c r="F41" s="49"/>
      <c r="G41" s="49"/>
      <c r="H41" s="49"/>
      <c r="I41" s="49"/>
      <c r="J41" s="49"/>
    </row>
    <row r="42" spans="1:10">
      <c r="A42" s="49"/>
      <c r="B42" s="49"/>
      <c r="C42" s="49"/>
      <c r="D42" s="49"/>
      <c r="E42" s="49"/>
      <c r="F42" s="49"/>
      <c r="G42" s="49"/>
      <c r="H42" s="49"/>
      <c r="I42" s="49"/>
      <c r="J42" s="49"/>
    </row>
    <row r="43" spans="1:10">
      <c r="A43" s="49"/>
      <c r="B43" s="49"/>
      <c r="C43" s="49"/>
      <c r="D43" s="49"/>
      <c r="E43" s="49"/>
      <c r="F43" s="49"/>
      <c r="G43" s="49"/>
      <c r="H43" s="49"/>
      <c r="I43" s="49"/>
      <c r="J43" s="49"/>
    </row>
    <row r="44" spans="1:10">
      <c r="A44" s="49"/>
      <c r="B44" s="49"/>
      <c r="C44" s="49"/>
      <c r="D44" s="49"/>
      <c r="E44" s="49"/>
      <c r="F44" s="49"/>
      <c r="G44" s="49"/>
      <c r="H44" s="49"/>
      <c r="I44" s="49"/>
      <c r="J44" s="49"/>
    </row>
    <row r="45" spans="1:10">
      <c r="A45" s="49"/>
      <c r="B45" s="49"/>
      <c r="C45" s="49"/>
      <c r="D45" s="49"/>
      <c r="E45" s="49"/>
      <c r="F45" s="49"/>
      <c r="G45" s="49"/>
      <c r="H45" s="49"/>
      <c r="I45" s="49"/>
      <c r="J45" s="49"/>
    </row>
    <row r="46" spans="1:10">
      <c r="A46" s="49"/>
      <c r="B46" s="49"/>
      <c r="C46" s="49"/>
      <c r="D46" s="49"/>
      <c r="E46" s="49"/>
      <c r="F46" s="49"/>
      <c r="G46" s="49"/>
      <c r="H46" s="49"/>
      <c r="I46" s="49"/>
      <c r="J46" s="49"/>
    </row>
    <row r="47" spans="1:10">
      <c r="A47" s="49"/>
      <c r="B47" s="49"/>
      <c r="C47" s="49"/>
      <c r="D47" s="49"/>
      <c r="E47" s="49"/>
      <c r="F47" s="49"/>
      <c r="G47" s="49"/>
      <c r="H47" s="49"/>
      <c r="I47" s="49"/>
      <c r="J47" s="49"/>
    </row>
    <row r="48" spans="1:10">
      <c r="A48" s="49"/>
      <c r="B48" s="49"/>
      <c r="C48" s="49"/>
      <c r="D48" s="49"/>
      <c r="E48" s="49"/>
      <c r="F48" s="49"/>
      <c r="G48" s="49"/>
      <c r="H48" s="49"/>
      <c r="I48" s="49"/>
      <c r="J48" s="49"/>
    </row>
    <row r="49" spans="1:10">
      <c r="A49" s="49"/>
      <c r="B49" s="49"/>
      <c r="C49" s="49"/>
      <c r="D49" s="49"/>
      <c r="E49" s="49"/>
      <c r="F49" s="49"/>
      <c r="G49" s="49"/>
      <c r="H49" s="49"/>
      <c r="I49" s="49"/>
      <c r="J49" s="49"/>
    </row>
    <row r="50" spans="1:10">
      <c r="A50" s="49"/>
      <c r="B50" s="49"/>
      <c r="C50" s="49"/>
      <c r="D50" s="49"/>
      <c r="E50" s="49"/>
      <c r="F50" s="49"/>
      <c r="G50" s="49"/>
      <c r="H50" s="49"/>
      <c r="I50" s="49"/>
      <c r="J50" s="49"/>
    </row>
    <row r="51" spans="1:10">
      <c r="A51" s="49"/>
      <c r="B51" s="49"/>
      <c r="C51" s="49"/>
      <c r="D51" s="49"/>
      <c r="E51" s="49"/>
      <c r="F51" s="49"/>
      <c r="G51" s="49"/>
      <c r="H51" s="49"/>
      <c r="I51" s="49"/>
      <c r="J51" s="49"/>
    </row>
    <row r="52" spans="1:10">
      <c r="A52" s="49"/>
      <c r="B52" s="49"/>
      <c r="C52" s="49"/>
      <c r="D52" s="49"/>
      <c r="E52" s="49"/>
      <c r="F52" s="49"/>
      <c r="G52" s="49"/>
      <c r="H52" s="49"/>
      <c r="I52" s="49"/>
      <c r="J52" s="49"/>
    </row>
    <row r="53" spans="1:10">
      <c r="A53" s="49"/>
      <c r="B53" s="49"/>
      <c r="C53" s="49"/>
      <c r="D53" s="49"/>
      <c r="E53" s="49"/>
      <c r="F53" s="49"/>
      <c r="G53" s="49"/>
      <c r="H53" s="49"/>
      <c r="I53" s="49"/>
      <c r="J53" s="49"/>
    </row>
    <row r="54" spans="1:10">
      <c r="A54" s="49"/>
      <c r="B54" s="49"/>
      <c r="C54" s="49"/>
      <c r="D54" s="49"/>
      <c r="E54" s="49"/>
      <c r="F54" s="49"/>
      <c r="G54" s="49"/>
      <c r="H54" s="49"/>
      <c r="I54" s="49"/>
      <c r="J54" s="49"/>
    </row>
    <row r="55" spans="1:10">
      <c r="A55" s="49"/>
      <c r="B55" s="49"/>
      <c r="C55" s="49"/>
      <c r="D55" s="49"/>
      <c r="E55" s="49"/>
      <c r="F55" s="49"/>
      <c r="G55" s="49"/>
      <c r="H55" s="49"/>
      <c r="I55" s="49"/>
      <c r="J55" s="49"/>
    </row>
    <row r="56" spans="1:10">
      <c r="A56" s="49"/>
      <c r="B56" s="49"/>
      <c r="C56" s="49"/>
      <c r="D56" s="49"/>
      <c r="E56" s="49"/>
      <c r="F56" s="49"/>
      <c r="G56" s="49"/>
      <c r="H56" s="49"/>
      <c r="I56" s="49"/>
      <c r="J56" s="49"/>
    </row>
    <row r="57" spans="1:10">
      <c r="A57" s="49"/>
      <c r="B57" s="49"/>
      <c r="C57" s="49"/>
      <c r="D57" s="49"/>
      <c r="E57" s="49"/>
      <c r="F57" s="49"/>
      <c r="G57" s="49"/>
      <c r="H57" s="49"/>
      <c r="I57" s="49"/>
      <c r="J57" s="49"/>
    </row>
    <row r="58" spans="1:10">
      <c r="A58" s="49"/>
      <c r="B58" s="49"/>
      <c r="C58" s="49"/>
      <c r="D58" s="49"/>
      <c r="E58" s="49"/>
      <c r="F58" s="49"/>
      <c r="G58" s="49"/>
      <c r="H58" s="49"/>
      <c r="I58" s="49"/>
      <c r="J58" s="49"/>
    </row>
    <row r="59" spans="1:10">
      <c r="A59" s="49"/>
      <c r="B59" s="49"/>
      <c r="C59" s="49"/>
      <c r="D59" s="49"/>
      <c r="E59" s="49"/>
      <c r="F59" s="49"/>
      <c r="G59" s="49"/>
      <c r="H59" s="49"/>
      <c r="I59" s="49"/>
      <c r="J59" s="49"/>
    </row>
    <row r="60" spans="1:10">
      <c r="A60" s="49"/>
      <c r="B60" s="49"/>
      <c r="C60" s="49"/>
      <c r="D60" s="49"/>
      <c r="E60" s="49"/>
      <c r="F60" s="49"/>
      <c r="G60" s="49"/>
      <c r="H60" s="49"/>
      <c r="I60" s="49"/>
      <c r="J60" s="49"/>
    </row>
    <row r="61" spans="1:10">
      <c r="A61" s="49"/>
      <c r="B61" s="49"/>
      <c r="C61" s="49"/>
      <c r="D61" s="49"/>
      <c r="E61" s="49"/>
      <c r="F61" s="49"/>
      <c r="G61" s="49"/>
      <c r="H61" s="49"/>
      <c r="I61" s="49"/>
      <c r="J61" s="49"/>
    </row>
    <row r="62" spans="1:10">
      <c r="A62" s="49"/>
      <c r="B62" s="49"/>
      <c r="C62" s="49"/>
      <c r="D62" s="49"/>
      <c r="E62" s="49"/>
      <c r="F62" s="49"/>
      <c r="G62" s="49"/>
      <c r="H62" s="49"/>
      <c r="I62" s="49"/>
      <c r="J62" s="49"/>
    </row>
    <row r="63" spans="1:10">
      <c r="A63" s="49"/>
      <c r="B63" s="49"/>
      <c r="C63" s="49"/>
      <c r="D63" s="49"/>
      <c r="E63" s="49"/>
      <c r="F63" s="49"/>
      <c r="G63" s="49"/>
      <c r="H63" s="49"/>
      <c r="I63" s="49"/>
      <c r="J63" s="49"/>
    </row>
    <row r="64" spans="1:10">
      <c r="A64" s="49"/>
      <c r="B64" s="49"/>
      <c r="C64" s="49"/>
      <c r="D64" s="49"/>
      <c r="E64" s="49"/>
      <c r="F64" s="49"/>
      <c r="G64" s="49"/>
      <c r="H64" s="49"/>
      <c r="I64" s="49"/>
      <c r="J64" s="49"/>
    </row>
    <row r="65" spans="1:10">
      <c r="A65" s="49"/>
      <c r="B65" s="49"/>
      <c r="C65" s="49"/>
      <c r="D65" s="49"/>
      <c r="E65" s="49"/>
      <c r="F65" s="49"/>
      <c r="G65" s="49"/>
      <c r="H65" s="49"/>
      <c r="I65" s="49"/>
      <c r="J65" s="49"/>
    </row>
    <row r="66" spans="1:10">
      <c r="A66" s="49"/>
      <c r="B66" s="49"/>
      <c r="C66" s="49"/>
      <c r="D66" s="49"/>
      <c r="E66" s="49"/>
      <c r="F66" s="49"/>
      <c r="G66" s="49"/>
      <c r="H66" s="49"/>
      <c r="I66" s="49"/>
      <c r="J66" s="49"/>
    </row>
    <row r="67" spans="1:10">
      <c r="A67" s="49"/>
      <c r="B67" s="49"/>
      <c r="C67" s="49"/>
      <c r="D67" s="49"/>
      <c r="E67" s="49"/>
      <c r="F67" s="49"/>
      <c r="G67" s="49"/>
      <c r="H67" s="49"/>
      <c r="I67" s="49"/>
      <c r="J67" s="49"/>
    </row>
    <row r="68" spans="1:10">
      <c r="A68" s="49"/>
      <c r="B68" s="49"/>
      <c r="C68" s="49"/>
      <c r="D68" s="49"/>
      <c r="E68" s="49"/>
      <c r="F68" s="49"/>
      <c r="G68" s="49"/>
      <c r="H68" s="49"/>
      <c r="I68" s="49"/>
      <c r="J68" s="49"/>
    </row>
    <row r="69" spans="1:10">
      <c r="A69" s="49"/>
      <c r="B69" s="49"/>
      <c r="C69" s="49"/>
      <c r="D69" s="49"/>
      <c r="E69" s="49"/>
      <c r="F69" s="49"/>
      <c r="G69" s="49"/>
      <c r="H69" s="49"/>
      <c r="I69" s="49"/>
      <c r="J69" s="49"/>
    </row>
    <row r="70" spans="1:10">
      <c r="A70" s="49"/>
      <c r="B70" s="49"/>
      <c r="C70" s="49"/>
      <c r="D70" s="49"/>
      <c r="E70" s="49"/>
      <c r="F70" s="49"/>
      <c r="G70" s="49"/>
      <c r="H70" s="49"/>
      <c r="I70" s="49"/>
      <c r="J70" s="49"/>
    </row>
    <row r="71" spans="1:10">
      <c r="A71" s="49"/>
      <c r="B71" s="49"/>
      <c r="C71" s="49"/>
      <c r="D71" s="49"/>
      <c r="E71" s="49"/>
      <c r="F71" s="49"/>
      <c r="G71" s="49"/>
      <c r="H71" s="49"/>
      <c r="I71" s="49"/>
      <c r="J71" s="49"/>
    </row>
    <row r="72" spans="1:10">
      <c r="A72" s="49"/>
      <c r="B72" s="49"/>
      <c r="C72" s="49"/>
      <c r="D72" s="49"/>
      <c r="E72" s="49"/>
      <c r="F72" s="49"/>
      <c r="G72" s="49"/>
      <c r="H72" s="49"/>
      <c r="I72" s="49"/>
      <c r="J72" s="49"/>
    </row>
    <row r="73" spans="1:10">
      <c r="A73" s="49"/>
      <c r="B73" s="49"/>
      <c r="C73" s="49"/>
      <c r="D73" s="49"/>
      <c r="E73" s="49"/>
      <c r="F73" s="49"/>
      <c r="G73" s="49"/>
      <c r="H73" s="49"/>
      <c r="I73" s="49"/>
      <c r="J73" s="49"/>
    </row>
    <row r="74" spans="1:10">
      <c r="A74" s="49"/>
      <c r="B74" s="49"/>
      <c r="C74" s="49"/>
      <c r="D74" s="49"/>
      <c r="E74" s="49"/>
      <c r="F74" s="49"/>
      <c r="G74" s="49"/>
      <c r="H74" s="49"/>
      <c r="I74" s="49"/>
      <c r="J74" s="49"/>
    </row>
    <row r="75" spans="1:10">
      <c r="A75" s="49"/>
      <c r="B75" s="49"/>
      <c r="C75" s="49"/>
      <c r="D75" s="49"/>
      <c r="E75" s="49"/>
      <c r="F75" s="49"/>
      <c r="G75" s="49"/>
      <c r="H75" s="49"/>
      <c r="I75" s="49"/>
      <c r="J75" s="49"/>
    </row>
    <row r="76" spans="1:10">
      <c r="A76" s="49"/>
      <c r="B76" s="49"/>
      <c r="C76" s="49"/>
      <c r="D76" s="49"/>
      <c r="E76" s="49"/>
      <c r="F76" s="49"/>
      <c r="G76" s="49"/>
      <c r="H76" s="49"/>
      <c r="I76" s="49"/>
      <c r="J76" s="49"/>
    </row>
    <row r="77" spans="1:10">
      <c r="A77" s="49"/>
      <c r="B77" s="49"/>
      <c r="C77" s="49"/>
      <c r="D77" s="49"/>
      <c r="E77" s="49"/>
      <c r="F77" s="49"/>
      <c r="G77" s="49"/>
      <c r="H77" s="49"/>
      <c r="I77" s="49"/>
      <c r="J77" s="49"/>
    </row>
    <row r="78" spans="1:10">
      <c r="A78" s="49"/>
      <c r="B78" s="49"/>
      <c r="C78" s="49"/>
      <c r="D78" s="49"/>
      <c r="E78" s="49"/>
      <c r="F78" s="49"/>
      <c r="G78" s="49"/>
      <c r="H78" s="49"/>
      <c r="I78" s="49"/>
      <c r="J78" s="49"/>
    </row>
    <row r="79" spans="1:10">
      <c r="A79" s="49"/>
      <c r="B79" s="49"/>
      <c r="C79" s="49"/>
      <c r="D79" s="49"/>
      <c r="E79" s="49"/>
      <c r="F79" s="49"/>
      <c r="G79" s="49"/>
      <c r="H79" s="49"/>
      <c r="I79" s="49"/>
      <c r="J79" s="49"/>
    </row>
    <row r="80" spans="1:10">
      <c r="A80" s="49"/>
      <c r="B80" s="49"/>
      <c r="C80" s="49"/>
      <c r="D80" s="49"/>
      <c r="E80" s="49"/>
      <c r="F80" s="49"/>
      <c r="G80" s="49"/>
      <c r="H80" s="49"/>
      <c r="I80" s="49"/>
      <c r="J80" s="49"/>
    </row>
    <row r="81" spans="1:10">
      <c r="A81" s="49"/>
      <c r="B81" s="49"/>
      <c r="C81" s="49"/>
      <c r="D81" s="49"/>
      <c r="E81" s="49"/>
      <c r="F81" s="49"/>
      <c r="G81" s="49"/>
      <c r="H81" s="49"/>
      <c r="I81" s="49"/>
      <c r="J81" s="49"/>
    </row>
    <row r="82" spans="1:10">
      <c r="A82" s="49"/>
      <c r="B82" s="49"/>
      <c r="C82" s="49"/>
      <c r="D82" s="49"/>
      <c r="E82" s="49"/>
      <c r="F82" s="49"/>
      <c r="G82" s="49"/>
      <c r="H82" s="49"/>
      <c r="I82" s="49"/>
      <c r="J82" s="49"/>
    </row>
    <row r="83" spans="1:10">
      <c r="A83" s="49"/>
      <c r="B83" s="49"/>
      <c r="C83" s="49"/>
      <c r="D83" s="49"/>
      <c r="E83" s="49"/>
      <c r="F83" s="49"/>
      <c r="G83" s="49"/>
      <c r="H83" s="49"/>
      <c r="I83" s="49"/>
      <c r="J83" s="49"/>
    </row>
    <row r="84" spans="1:10">
      <c r="A84" s="49"/>
      <c r="B84" s="49"/>
      <c r="C84" s="49"/>
      <c r="D84" s="49"/>
      <c r="E84" s="49"/>
      <c r="F84" s="49"/>
      <c r="G84" s="49"/>
      <c r="H84" s="49"/>
      <c r="I84" s="49"/>
      <c r="J84" s="49"/>
    </row>
    <row r="85" spans="1:10">
      <c r="A85" s="49"/>
      <c r="B85" s="49"/>
      <c r="C85" s="49"/>
      <c r="D85" s="49"/>
      <c r="E85" s="49"/>
      <c r="F85" s="49"/>
      <c r="G85" s="49"/>
      <c r="H85" s="49"/>
      <c r="I85" s="49"/>
      <c r="J85" s="49"/>
    </row>
    <row r="86" spans="1:10">
      <c r="A86" s="49"/>
      <c r="B86" s="49"/>
      <c r="C86" s="49"/>
      <c r="D86" s="49"/>
      <c r="E86" s="49"/>
      <c r="F86" s="49"/>
      <c r="G86" s="49"/>
      <c r="H86" s="49"/>
      <c r="I86" s="49"/>
      <c r="J86" s="49"/>
    </row>
    <row r="87" spans="1:10">
      <c r="A87" s="49"/>
      <c r="B87" s="49"/>
      <c r="C87" s="49"/>
      <c r="D87" s="49"/>
      <c r="E87" s="49"/>
      <c r="F87" s="49"/>
      <c r="G87" s="49"/>
      <c r="H87" s="49"/>
      <c r="I87" s="49"/>
      <c r="J87" s="49"/>
    </row>
    <row r="88" spans="1:10">
      <c r="A88" s="49"/>
      <c r="B88" s="49"/>
      <c r="C88" s="49"/>
      <c r="D88" s="49"/>
      <c r="E88" s="49"/>
      <c r="F88" s="49"/>
      <c r="G88" s="49"/>
      <c r="H88" s="49"/>
      <c r="I88" s="49"/>
      <c r="J88" s="49"/>
    </row>
    <row r="89" spans="1:10">
      <c r="A89" s="49"/>
      <c r="B89" s="49"/>
      <c r="C89" s="49"/>
      <c r="D89" s="49"/>
      <c r="E89" s="49"/>
      <c r="F89" s="49"/>
      <c r="G89" s="49"/>
      <c r="H89" s="49"/>
      <c r="I89" s="49"/>
      <c r="J89" s="49"/>
    </row>
    <row r="90" spans="1:10">
      <c r="A90" s="49"/>
      <c r="B90" s="49"/>
      <c r="C90" s="49"/>
      <c r="D90" s="49"/>
      <c r="E90" s="49"/>
      <c r="F90" s="49"/>
      <c r="G90" s="49"/>
      <c r="H90" s="49"/>
      <c r="I90" s="49"/>
      <c r="J90" s="49"/>
    </row>
  </sheetData>
  <mergeCells count="4">
    <mergeCell ref="B6:B9"/>
    <mergeCell ref="A3:J3"/>
    <mergeCell ref="B10:B17"/>
    <mergeCell ref="J10:J1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65"/>
  <sheetViews>
    <sheetView workbookViewId="0">
      <selection activeCell="T9" sqref="T9"/>
    </sheetView>
  </sheetViews>
  <sheetFormatPr defaultRowHeight="12.75"/>
  <cols>
    <col min="1" max="1" width="4.28515625" style="36" customWidth="1"/>
    <col min="2" max="2" width="8.85546875" style="36" customWidth="1"/>
    <col min="3" max="3" width="69.85546875" style="36" customWidth="1"/>
    <col min="4" max="4" width="5.85546875" style="36" customWidth="1"/>
    <col min="5" max="6" width="10" style="36" hidden="1" customWidth="1"/>
    <col min="7" max="8" width="9.85546875" style="36" hidden="1" customWidth="1"/>
    <col min="9" max="9" width="9.85546875" style="36" customWidth="1"/>
    <col min="10" max="10" width="11.42578125" style="36" customWidth="1"/>
    <col min="11" max="11" width="10.140625" style="36" customWidth="1"/>
    <col min="12" max="12" width="12.7109375" style="36" hidden="1" customWidth="1"/>
    <col min="13" max="13" width="11.42578125" style="36" customWidth="1"/>
    <col min="14" max="17" width="12.28515625" style="36" customWidth="1"/>
    <col min="18" max="18" width="10.28515625" style="36" hidden="1" customWidth="1"/>
    <col min="19" max="19" width="11.7109375" style="36" hidden="1" customWidth="1"/>
    <col min="20" max="258" width="9.140625" style="36"/>
    <col min="259" max="259" width="4.28515625" style="36" customWidth="1"/>
    <col min="260" max="260" width="8.85546875" style="36" customWidth="1"/>
    <col min="261" max="261" width="60.5703125" style="36" customWidth="1"/>
    <col min="262" max="262" width="5.85546875" style="36" customWidth="1"/>
    <col min="263" max="263" width="0" style="36" hidden="1" customWidth="1"/>
    <col min="264" max="264" width="10" style="36" customWidth="1"/>
    <col min="265" max="265" width="9.85546875" style="36" customWidth="1"/>
    <col min="266" max="266" width="0" style="36" hidden="1" customWidth="1"/>
    <col min="267" max="267" width="9.85546875" style="36" customWidth="1"/>
    <col min="268" max="268" width="10.7109375" style="36" customWidth="1"/>
    <col min="269" max="269" width="10" style="36" bestFit="1" customWidth="1"/>
    <col min="270" max="271" width="9.42578125" style="36" customWidth="1"/>
    <col min="272" max="514" width="9.140625" style="36"/>
    <col min="515" max="515" width="4.28515625" style="36" customWidth="1"/>
    <col min="516" max="516" width="8.85546875" style="36" customWidth="1"/>
    <col min="517" max="517" width="60.5703125" style="36" customWidth="1"/>
    <col min="518" max="518" width="5.85546875" style="36" customWidth="1"/>
    <col min="519" max="519" width="0" style="36" hidden="1" customWidth="1"/>
    <col min="520" max="520" width="10" style="36" customWidth="1"/>
    <col min="521" max="521" width="9.85546875" style="36" customWidth="1"/>
    <col min="522" max="522" width="0" style="36" hidden="1" customWidth="1"/>
    <col min="523" max="523" width="9.85546875" style="36" customWidth="1"/>
    <col min="524" max="524" width="10.7109375" style="36" customWidth="1"/>
    <col min="525" max="525" width="10" style="36" bestFit="1" customWidth="1"/>
    <col min="526" max="527" width="9.42578125" style="36" customWidth="1"/>
    <col min="528" max="770" width="9.140625" style="36"/>
    <col min="771" max="771" width="4.28515625" style="36" customWidth="1"/>
    <col min="772" max="772" width="8.85546875" style="36" customWidth="1"/>
    <col min="773" max="773" width="60.5703125" style="36" customWidth="1"/>
    <col min="774" max="774" width="5.85546875" style="36" customWidth="1"/>
    <col min="775" max="775" width="0" style="36" hidden="1" customWidth="1"/>
    <col min="776" max="776" width="10" style="36" customWidth="1"/>
    <col min="777" max="777" width="9.85546875" style="36" customWidth="1"/>
    <col min="778" max="778" width="0" style="36" hidden="1" customWidth="1"/>
    <col min="779" max="779" width="9.85546875" style="36" customWidth="1"/>
    <col min="780" max="780" width="10.7109375" style="36" customWidth="1"/>
    <col min="781" max="781" width="10" style="36" bestFit="1" customWidth="1"/>
    <col min="782" max="783" width="9.42578125" style="36" customWidth="1"/>
    <col min="784" max="1026" width="9.140625" style="36"/>
    <col min="1027" max="1027" width="4.28515625" style="36" customWidth="1"/>
    <col min="1028" max="1028" width="8.85546875" style="36" customWidth="1"/>
    <col min="1029" max="1029" width="60.5703125" style="36" customWidth="1"/>
    <col min="1030" max="1030" width="5.85546875" style="36" customWidth="1"/>
    <col min="1031" max="1031" width="0" style="36" hidden="1" customWidth="1"/>
    <col min="1032" max="1032" width="10" style="36" customWidth="1"/>
    <col min="1033" max="1033" width="9.85546875" style="36" customWidth="1"/>
    <col min="1034" max="1034" width="0" style="36" hidden="1" customWidth="1"/>
    <col min="1035" max="1035" width="9.85546875" style="36" customWidth="1"/>
    <col min="1036" max="1036" width="10.7109375" style="36" customWidth="1"/>
    <col min="1037" max="1037" width="10" style="36" bestFit="1" customWidth="1"/>
    <col min="1038" max="1039" width="9.42578125" style="36" customWidth="1"/>
    <col min="1040" max="1282" width="9.140625" style="36"/>
    <col min="1283" max="1283" width="4.28515625" style="36" customWidth="1"/>
    <col min="1284" max="1284" width="8.85546875" style="36" customWidth="1"/>
    <col min="1285" max="1285" width="60.5703125" style="36" customWidth="1"/>
    <col min="1286" max="1286" width="5.85546875" style="36" customWidth="1"/>
    <col min="1287" max="1287" width="0" style="36" hidden="1" customWidth="1"/>
    <col min="1288" max="1288" width="10" style="36" customWidth="1"/>
    <col min="1289" max="1289" width="9.85546875" style="36" customWidth="1"/>
    <col min="1290" max="1290" width="0" style="36" hidden="1" customWidth="1"/>
    <col min="1291" max="1291" width="9.85546875" style="36" customWidth="1"/>
    <col min="1292" max="1292" width="10.7109375" style="36" customWidth="1"/>
    <col min="1293" max="1293" width="10" style="36" bestFit="1" customWidth="1"/>
    <col min="1294" max="1295" width="9.42578125" style="36" customWidth="1"/>
    <col min="1296" max="1538" width="9.140625" style="36"/>
    <col min="1539" max="1539" width="4.28515625" style="36" customWidth="1"/>
    <col min="1540" max="1540" width="8.85546875" style="36" customWidth="1"/>
    <col min="1541" max="1541" width="60.5703125" style="36" customWidth="1"/>
    <col min="1542" max="1542" width="5.85546875" style="36" customWidth="1"/>
    <col min="1543" max="1543" width="0" style="36" hidden="1" customWidth="1"/>
    <col min="1544" max="1544" width="10" style="36" customWidth="1"/>
    <col min="1545" max="1545" width="9.85546875" style="36" customWidth="1"/>
    <col min="1546" max="1546" width="0" style="36" hidden="1" customWidth="1"/>
    <col min="1547" max="1547" width="9.85546875" style="36" customWidth="1"/>
    <col min="1548" max="1548" width="10.7109375" style="36" customWidth="1"/>
    <col min="1549" max="1549" width="10" style="36" bestFit="1" customWidth="1"/>
    <col min="1550" max="1551" width="9.42578125" style="36" customWidth="1"/>
    <col min="1552" max="1794" width="9.140625" style="36"/>
    <col min="1795" max="1795" width="4.28515625" style="36" customWidth="1"/>
    <col min="1796" max="1796" width="8.85546875" style="36" customWidth="1"/>
    <col min="1797" max="1797" width="60.5703125" style="36" customWidth="1"/>
    <col min="1798" max="1798" width="5.85546875" style="36" customWidth="1"/>
    <col min="1799" max="1799" width="0" style="36" hidden="1" customWidth="1"/>
    <col min="1800" max="1800" width="10" style="36" customWidth="1"/>
    <col min="1801" max="1801" width="9.85546875" style="36" customWidth="1"/>
    <col min="1802" max="1802" width="0" style="36" hidden="1" customWidth="1"/>
    <col min="1803" max="1803" width="9.85546875" style="36" customWidth="1"/>
    <col min="1804" max="1804" width="10.7109375" style="36" customWidth="1"/>
    <col min="1805" max="1805" width="10" style="36" bestFit="1" customWidth="1"/>
    <col min="1806" max="1807" width="9.42578125" style="36" customWidth="1"/>
    <col min="1808" max="2050" width="9.140625" style="36"/>
    <col min="2051" max="2051" width="4.28515625" style="36" customWidth="1"/>
    <col min="2052" max="2052" width="8.85546875" style="36" customWidth="1"/>
    <col min="2053" max="2053" width="60.5703125" style="36" customWidth="1"/>
    <col min="2054" max="2054" width="5.85546875" style="36" customWidth="1"/>
    <col min="2055" max="2055" width="0" style="36" hidden="1" customWidth="1"/>
    <col min="2056" max="2056" width="10" style="36" customWidth="1"/>
    <col min="2057" max="2057" width="9.85546875" style="36" customWidth="1"/>
    <col min="2058" max="2058" width="0" style="36" hidden="1" customWidth="1"/>
    <col min="2059" max="2059" width="9.85546875" style="36" customWidth="1"/>
    <col min="2060" max="2060" width="10.7109375" style="36" customWidth="1"/>
    <col min="2061" max="2061" width="10" style="36" bestFit="1" customWidth="1"/>
    <col min="2062" max="2063" width="9.42578125" style="36" customWidth="1"/>
    <col min="2064" max="2306" width="9.140625" style="36"/>
    <col min="2307" max="2307" width="4.28515625" style="36" customWidth="1"/>
    <col min="2308" max="2308" width="8.85546875" style="36" customWidth="1"/>
    <col min="2309" max="2309" width="60.5703125" style="36" customWidth="1"/>
    <col min="2310" max="2310" width="5.85546875" style="36" customWidth="1"/>
    <col min="2311" max="2311" width="0" style="36" hidden="1" customWidth="1"/>
    <col min="2312" max="2312" width="10" style="36" customWidth="1"/>
    <col min="2313" max="2313" width="9.85546875" style="36" customWidth="1"/>
    <col min="2314" max="2314" width="0" style="36" hidden="1" customWidth="1"/>
    <col min="2315" max="2315" width="9.85546875" style="36" customWidth="1"/>
    <col min="2316" max="2316" width="10.7109375" style="36" customWidth="1"/>
    <col min="2317" max="2317" width="10" style="36" bestFit="1" customWidth="1"/>
    <col min="2318" max="2319" width="9.42578125" style="36" customWidth="1"/>
    <col min="2320" max="2562" width="9.140625" style="36"/>
    <col min="2563" max="2563" width="4.28515625" style="36" customWidth="1"/>
    <col min="2564" max="2564" width="8.85546875" style="36" customWidth="1"/>
    <col min="2565" max="2565" width="60.5703125" style="36" customWidth="1"/>
    <col min="2566" max="2566" width="5.85546875" style="36" customWidth="1"/>
    <col min="2567" max="2567" width="0" style="36" hidden="1" customWidth="1"/>
    <col min="2568" max="2568" width="10" style="36" customWidth="1"/>
    <col min="2569" max="2569" width="9.85546875" style="36" customWidth="1"/>
    <col min="2570" max="2570" width="0" style="36" hidden="1" customWidth="1"/>
    <col min="2571" max="2571" width="9.85546875" style="36" customWidth="1"/>
    <col min="2572" max="2572" width="10.7109375" style="36" customWidth="1"/>
    <col min="2573" max="2573" width="10" style="36" bestFit="1" customWidth="1"/>
    <col min="2574" max="2575" width="9.42578125" style="36" customWidth="1"/>
    <col min="2576" max="2818" width="9.140625" style="36"/>
    <col min="2819" max="2819" width="4.28515625" style="36" customWidth="1"/>
    <col min="2820" max="2820" width="8.85546875" style="36" customWidth="1"/>
    <col min="2821" max="2821" width="60.5703125" style="36" customWidth="1"/>
    <col min="2822" max="2822" width="5.85546875" style="36" customWidth="1"/>
    <col min="2823" max="2823" width="0" style="36" hidden="1" customWidth="1"/>
    <col min="2824" max="2824" width="10" style="36" customWidth="1"/>
    <col min="2825" max="2825" width="9.85546875" style="36" customWidth="1"/>
    <col min="2826" max="2826" width="0" style="36" hidden="1" customWidth="1"/>
    <col min="2827" max="2827" width="9.85546875" style="36" customWidth="1"/>
    <col min="2828" max="2828" width="10.7109375" style="36" customWidth="1"/>
    <col min="2829" max="2829" width="10" style="36" bestFit="1" customWidth="1"/>
    <col min="2830" max="2831" width="9.42578125" style="36" customWidth="1"/>
    <col min="2832" max="3074" width="9.140625" style="36"/>
    <col min="3075" max="3075" width="4.28515625" style="36" customWidth="1"/>
    <col min="3076" max="3076" width="8.85546875" style="36" customWidth="1"/>
    <col min="3077" max="3077" width="60.5703125" style="36" customWidth="1"/>
    <col min="3078" max="3078" width="5.85546875" style="36" customWidth="1"/>
    <col min="3079" max="3079" width="0" style="36" hidden="1" customWidth="1"/>
    <col min="3080" max="3080" width="10" style="36" customWidth="1"/>
    <col min="3081" max="3081" width="9.85546875" style="36" customWidth="1"/>
    <col min="3082" max="3082" width="0" style="36" hidden="1" customWidth="1"/>
    <col min="3083" max="3083" width="9.85546875" style="36" customWidth="1"/>
    <col min="3084" max="3084" width="10.7109375" style="36" customWidth="1"/>
    <col min="3085" max="3085" width="10" style="36" bestFit="1" customWidth="1"/>
    <col min="3086" max="3087" width="9.42578125" style="36" customWidth="1"/>
    <col min="3088" max="3330" width="9.140625" style="36"/>
    <col min="3331" max="3331" width="4.28515625" style="36" customWidth="1"/>
    <col min="3332" max="3332" width="8.85546875" style="36" customWidth="1"/>
    <col min="3333" max="3333" width="60.5703125" style="36" customWidth="1"/>
    <col min="3334" max="3334" width="5.85546875" style="36" customWidth="1"/>
    <col min="3335" max="3335" width="0" style="36" hidden="1" customWidth="1"/>
    <col min="3336" max="3336" width="10" style="36" customWidth="1"/>
    <col min="3337" max="3337" width="9.85546875" style="36" customWidth="1"/>
    <col min="3338" max="3338" width="0" style="36" hidden="1" customWidth="1"/>
    <col min="3339" max="3339" width="9.85546875" style="36" customWidth="1"/>
    <col min="3340" max="3340" width="10.7109375" style="36" customWidth="1"/>
    <col min="3341" max="3341" width="10" style="36" bestFit="1" customWidth="1"/>
    <col min="3342" max="3343" width="9.42578125" style="36" customWidth="1"/>
    <col min="3344" max="3586" width="9.140625" style="36"/>
    <col min="3587" max="3587" width="4.28515625" style="36" customWidth="1"/>
    <col min="3588" max="3588" width="8.85546875" style="36" customWidth="1"/>
    <col min="3589" max="3589" width="60.5703125" style="36" customWidth="1"/>
    <col min="3590" max="3590" width="5.85546875" style="36" customWidth="1"/>
    <col min="3591" max="3591" width="0" style="36" hidden="1" customWidth="1"/>
    <col min="3592" max="3592" width="10" style="36" customWidth="1"/>
    <col min="3593" max="3593" width="9.85546875" style="36" customWidth="1"/>
    <col min="3594" max="3594" width="0" style="36" hidden="1" customWidth="1"/>
    <col min="3595" max="3595" width="9.85546875" style="36" customWidth="1"/>
    <col min="3596" max="3596" width="10.7109375" style="36" customWidth="1"/>
    <col min="3597" max="3597" width="10" style="36" bestFit="1" customWidth="1"/>
    <col min="3598" max="3599" width="9.42578125" style="36" customWidth="1"/>
    <col min="3600" max="3842" width="9.140625" style="36"/>
    <col min="3843" max="3843" width="4.28515625" style="36" customWidth="1"/>
    <col min="3844" max="3844" width="8.85546875" style="36" customWidth="1"/>
    <col min="3845" max="3845" width="60.5703125" style="36" customWidth="1"/>
    <col min="3846" max="3846" width="5.85546875" style="36" customWidth="1"/>
    <col min="3847" max="3847" width="0" style="36" hidden="1" customWidth="1"/>
    <col min="3848" max="3848" width="10" style="36" customWidth="1"/>
    <col min="3849" max="3849" width="9.85546875" style="36" customWidth="1"/>
    <col min="3850" max="3850" width="0" style="36" hidden="1" customWidth="1"/>
    <col min="3851" max="3851" width="9.85546875" style="36" customWidth="1"/>
    <col min="3852" max="3852" width="10.7109375" style="36" customWidth="1"/>
    <col min="3853" max="3853" width="10" style="36" bestFit="1" customWidth="1"/>
    <col min="3854" max="3855" width="9.42578125" style="36" customWidth="1"/>
    <col min="3856" max="4098" width="9.140625" style="36"/>
    <col min="4099" max="4099" width="4.28515625" style="36" customWidth="1"/>
    <col min="4100" max="4100" width="8.85546875" style="36" customWidth="1"/>
    <col min="4101" max="4101" width="60.5703125" style="36" customWidth="1"/>
    <col min="4102" max="4102" width="5.85546875" style="36" customWidth="1"/>
    <col min="4103" max="4103" width="0" style="36" hidden="1" customWidth="1"/>
    <col min="4104" max="4104" width="10" style="36" customWidth="1"/>
    <col min="4105" max="4105" width="9.85546875" style="36" customWidth="1"/>
    <col min="4106" max="4106" width="0" style="36" hidden="1" customWidth="1"/>
    <col min="4107" max="4107" width="9.85546875" style="36" customWidth="1"/>
    <col min="4108" max="4108" width="10.7109375" style="36" customWidth="1"/>
    <col min="4109" max="4109" width="10" style="36" bestFit="1" customWidth="1"/>
    <col min="4110" max="4111" width="9.42578125" style="36" customWidth="1"/>
    <col min="4112" max="4354" width="9.140625" style="36"/>
    <col min="4355" max="4355" width="4.28515625" style="36" customWidth="1"/>
    <col min="4356" max="4356" width="8.85546875" style="36" customWidth="1"/>
    <col min="4357" max="4357" width="60.5703125" style="36" customWidth="1"/>
    <col min="4358" max="4358" width="5.85546875" style="36" customWidth="1"/>
    <col min="4359" max="4359" width="0" style="36" hidden="1" customWidth="1"/>
    <col min="4360" max="4360" width="10" style="36" customWidth="1"/>
    <col min="4361" max="4361" width="9.85546875" style="36" customWidth="1"/>
    <col min="4362" max="4362" width="0" style="36" hidden="1" customWidth="1"/>
    <col min="4363" max="4363" width="9.85546875" style="36" customWidth="1"/>
    <col min="4364" max="4364" width="10.7109375" style="36" customWidth="1"/>
    <col min="4365" max="4365" width="10" style="36" bestFit="1" customWidth="1"/>
    <col min="4366" max="4367" width="9.42578125" style="36" customWidth="1"/>
    <col min="4368" max="4610" width="9.140625" style="36"/>
    <col min="4611" max="4611" width="4.28515625" style="36" customWidth="1"/>
    <col min="4612" max="4612" width="8.85546875" style="36" customWidth="1"/>
    <col min="4613" max="4613" width="60.5703125" style="36" customWidth="1"/>
    <col min="4614" max="4614" width="5.85546875" style="36" customWidth="1"/>
    <col min="4615" max="4615" width="0" style="36" hidden="1" customWidth="1"/>
    <col min="4616" max="4616" width="10" style="36" customWidth="1"/>
    <col min="4617" max="4617" width="9.85546875" style="36" customWidth="1"/>
    <col min="4618" max="4618" width="0" style="36" hidden="1" customWidth="1"/>
    <col min="4619" max="4619" width="9.85546875" style="36" customWidth="1"/>
    <col min="4620" max="4620" width="10.7109375" style="36" customWidth="1"/>
    <col min="4621" max="4621" width="10" style="36" bestFit="1" customWidth="1"/>
    <col min="4622" max="4623" width="9.42578125" style="36" customWidth="1"/>
    <col min="4624" max="4866" width="9.140625" style="36"/>
    <col min="4867" max="4867" width="4.28515625" style="36" customWidth="1"/>
    <col min="4868" max="4868" width="8.85546875" style="36" customWidth="1"/>
    <col min="4869" max="4869" width="60.5703125" style="36" customWidth="1"/>
    <col min="4870" max="4870" width="5.85546875" style="36" customWidth="1"/>
    <col min="4871" max="4871" width="0" style="36" hidden="1" customWidth="1"/>
    <col min="4872" max="4872" width="10" style="36" customWidth="1"/>
    <col min="4873" max="4873" width="9.85546875" style="36" customWidth="1"/>
    <col min="4874" max="4874" width="0" style="36" hidden="1" customWidth="1"/>
    <col min="4875" max="4875" width="9.85546875" style="36" customWidth="1"/>
    <col min="4876" max="4876" width="10.7109375" style="36" customWidth="1"/>
    <col min="4877" max="4877" width="10" style="36" bestFit="1" customWidth="1"/>
    <col min="4878" max="4879" width="9.42578125" style="36" customWidth="1"/>
    <col min="4880" max="5122" width="9.140625" style="36"/>
    <col min="5123" max="5123" width="4.28515625" style="36" customWidth="1"/>
    <col min="5124" max="5124" width="8.85546875" style="36" customWidth="1"/>
    <col min="5125" max="5125" width="60.5703125" style="36" customWidth="1"/>
    <col min="5126" max="5126" width="5.85546875" style="36" customWidth="1"/>
    <col min="5127" max="5127" width="0" style="36" hidden="1" customWidth="1"/>
    <col min="5128" max="5128" width="10" style="36" customWidth="1"/>
    <col min="5129" max="5129" width="9.85546875" style="36" customWidth="1"/>
    <col min="5130" max="5130" width="0" style="36" hidden="1" customWidth="1"/>
    <col min="5131" max="5131" width="9.85546875" style="36" customWidth="1"/>
    <col min="5132" max="5132" width="10.7109375" style="36" customWidth="1"/>
    <col min="5133" max="5133" width="10" style="36" bestFit="1" customWidth="1"/>
    <col min="5134" max="5135" width="9.42578125" style="36" customWidth="1"/>
    <col min="5136" max="5378" width="9.140625" style="36"/>
    <col min="5379" max="5379" width="4.28515625" style="36" customWidth="1"/>
    <col min="5380" max="5380" width="8.85546875" style="36" customWidth="1"/>
    <col min="5381" max="5381" width="60.5703125" style="36" customWidth="1"/>
    <col min="5382" max="5382" width="5.85546875" style="36" customWidth="1"/>
    <col min="5383" max="5383" width="0" style="36" hidden="1" customWidth="1"/>
    <col min="5384" max="5384" width="10" style="36" customWidth="1"/>
    <col min="5385" max="5385" width="9.85546875" style="36" customWidth="1"/>
    <col min="5386" max="5386" width="0" style="36" hidden="1" customWidth="1"/>
    <col min="5387" max="5387" width="9.85546875" style="36" customWidth="1"/>
    <col min="5388" max="5388" width="10.7109375" style="36" customWidth="1"/>
    <col min="5389" max="5389" width="10" style="36" bestFit="1" customWidth="1"/>
    <col min="5390" max="5391" width="9.42578125" style="36" customWidth="1"/>
    <col min="5392" max="5634" width="9.140625" style="36"/>
    <col min="5635" max="5635" width="4.28515625" style="36" customWidth="1"/>
    <col min="5636" max="5636" width="8.85546875" style="36" customWidth="1"/>
    <col min="5637" max="5637" width="60.5703125" style="36" customWidth="1"/>
    <col min="5638" max="5638" width="5.85546875" style="36" customWidth="1"/>
    <col min="5639" max="5639" width="0" style="36" hidden="1" customWidth="1"/>
    <col min="5640" max="5640" width="10" style="36" customWidth="1"/>
    <col min="5641" max="5641" width="9.85546875" style="36" customWidth="1"/>
    <col min="5642" max="5642" width="0" style="36" hidden="1" customWidth="1"/>
    <col min="5643" max="5643" width="9.85546875" style="36" customWidth="1"/>
    <col min="5644" max="5644" width="10.7109375" style="36" customWidth="1"/>
    <col min="5645" max="5645" width="10" style="36" bestFit="1" customWidth="1"/>
    <col min="5646" max="5647" width="9.42578125" style="36" customWidth="1"/>
    <col min="5648" max="5890" width="9.140625" style="36"/>
    <col min="5891" max="5891" width="4.28515625" style="36" customWidth="1"/>
    <col min="5892" max="5892" width="8.85546875" style="36" customWidth="1"/>
    <col min="5893" max="5893" width="60.5703125" style="36" customWidth="1"/>
    <col min="5894" max="5894" width="5.85546875" style="36" customWidth="1"/>
    <col min="5895" max="5895" width="0" style="36" hidden="1" customWidth="1"/>
    <col min="5896" max="5896" width="10" style="36" customWidth="1"/>
    <col min="5897" max="5897" width="9.85546875" style="36" customWidth="1"/>
    <col min="5898" max="5898" width="0" style="36" hidden="1" customWidth="1"/>
    <col min="5899" max="5899" width="9.85546875" style="36" customWidth="1"/>
    <col min="5900" max="5900" width="10.7109375" style="36" customWidth="1"/>
    <col min="5901" max="5901" width="10" style="36" bestFit="1" customWidth="1"/>
    <col min="5902" max="5903" width="9.42578125" style="36" customWidth="1"/>
    <col min="5904" max="6146" width="9.140625" style="36"/>
    <col min="6147" max="6147" width="4.28515625" style="36" customWidth="1"/>
    <col min="6148" max="6148" width="8.85546875" style="36" customWidth="1"/>
    <col min="6149" max="6149" width="60.5703125" style="36" customWidth="1"/>
    <col min="6150" max="6150" width="5.85546875" style="36" customWidth="1"/>
    <col min="6151" max="6151" width="0" style="36" hidden="1" customWidth="1"/>
    <col min="6152" max="6152" width="10" style="36" customWidth="1"/>
    <col min="6153" max="6153" width="9.85546875" style="36" customWidth="1"/>
    <col min="6154" max="6154" width="0" style="36" hidden="1" customWidth="1"/>
    <col min="6155" max="6155" width="9.85546875" style="36" customWidth="1"/>
    <col min="6156" max="6156" width="10.7109375" style="36" customWidth="1"/>
    <col min="6157" max="6157" width="10" style="36" bestFit="1" customWidth="1"/>
    <col min="6158" max="6159" width="9.42578125" style="36" customWidth="1"/>
    <col min="6160" max="6402" width="9.140625" style="36"/>
    <col min="6403" max="6403" width="4.28515625" style="36" customWidth="1"/>
    <col min="6404" max="6404" width="8.85546875" style="36" customWidth="1"/>
    <col min="6405" max="6405" width="60.5703125" style="36" customWidth="1"/>
    <col min="6406" max="6406" width="5.85546875" style="36" customWidth="1"/>
    <col min="6407" max="6407" width="0" style="36" hidden="1" customWidth="1"/>
    <col min="6408" max="6408" width="10" style="36" customWidth="1"/>
    <col min="6409" max="6409" width="9.85546875" style="36" customWidth="1"/>
    <col min="6410" max="6410" width="0" style="36" hidden="1" customWidth="1"/>
    <col min="6411" max="6411" width="9.85546875" style="36" customWidth="1"/>
    <col min="6412" max="6412" width="10.7109375" style="36" customWidth="1"/>
    <col min="6413" max="6413" width="10" style="36" bestFit="1" customWidth="1"/>
    <col min="6414" max="6415" width="9.42578125" style="36" customWidth="1"/>
    <col min="6416" max="6658" width="9.140625" style="36"/>
    <col min="6659" max="6659" width="4.28515625" style="36" customWidth="1"/>
    <col min="6660" max="6660" width="8.85546875" style="36" customWidth="1"/>
    <col min="6661" max="6661" width="60.5703125" style="36" customWidth="1"/>
    <col min="6662" max="6662" width="5.85546875" style="36" customWidth="1"/>
    <col min="6663" max="6663" width="0" style="36" hidden="1" customWidth="1"/>
    <col min="6664" max="6664" width="10" style="36" customWidth="1"/>
    <col min="6665" max="6665" width="9.85546875" style="36" customWidth="1"/>
    <col min="6666" max="6666" width="0" style="36" hidden="1" customWidth="1"/>
    <col min="6667" max="6667" width="9.85546875" style="36" customWidth="1"/>
    <col min="6668" max="6668" width="10.7109375" style="36" customWidth="1"/>
    <col min="6669" max="6669" width="10" style="36" bestFit="1" customWidth="1"/>
    <col min="6670" max="6671" width="9.42578125" style="36" customWidth="1"/>
    <col min="6672" max="6914" width="9.140625" style="36"/>
    <col min="6915" max="6915" width="4.28515625" style="36" customWidth="1"/>
    <col min="6916" max="6916" width="8.85546875" style="36" customWidth="1"/>
    <col min="6917" max="6917" width="60.5703125" style="36" customWidth="1"/>
    <col min="6918" max="6918" width="5.85546875" style="36" customWidth="1"/>
    <col min="6919" max="6919" width="0" style="36" hidden="1" customWidth="1"/>
    <col min="6920" max="6920" width="10" style="36" customWidth="1"/>
    <col min="6921" max="6921" width="9.85546875" style="36" customWidth="1"/>
    <col min="6922" max="6922" width="0" style="36" hidden="1" customWidth="1"/>
    <col min="6923" max="6923" width="9.85546875" style="36" customWidth="1"/>
    <col min="6924" max="6924" width="10.7109375" style="36" customWidth="1"/>
    <col min="6925" max="6925" width="10" style="36" bestFit="1" customWidth="1"/>
    <col min="6926" max="6927" width="9.42578125" style="36" customWidth="1"/>
    <col min="6928" max="7170" width="9.140625" style="36"/>
    <col min="7171" max="7171" width="4.28515625" style="36" customWidth="1"/>
    <col min="7172" max="7172" width="8.85546875" style="36" customWidth="1"/>
    <col min="7173" max="7173" width="60.5703125" style="36" customWidth="1"/>
    <col min="7174" max="7174" width="5.85546875" style="36" customWidth="1"/>
    <col min="7175" max="7175" width="0" style="36" hidden="1" customWidth="1"/>
    <col min="7176" max="7176" width="10" style="36" customWidth="1"/>
    <col min="7177" max="7177" width="9.85546875" style="36" customWidth="1"/>
    <col min="7178" max="7178" width="0" style="36" hidden="1" customWidth="1"/>
    <col min="7179" max="7179" width="9.85546875" style="36" customWidth="1"/>
    <col min="7180" max="7180" width="10.7109375" style="36" customWidth="1"/>
    <col min="7181" max="7181" width="10" style="36" bestFit="1" customWidth="1"/>
    <col min="7182" max="7183" width="9.42578125" style="36" customWidth="1"/>
    <col min="7184" max="7426" width="9.140625" style="36"/>
    <col min="7427" max="7427" width="4.28515625" style="36" customWidth="1"/>
    <col min="7428" max="7428" width="8.85546875" style="36" customWidth="1"/>
    <col min="7429" max="7429" width="60.5703125" style="36" customWidth="1"/>
    <col min="7430" max="7430" width="5.85546875" style="36" customWidth="1"/>
    <col min="7431" max="7431" width="0" style="36" hidden="1" customWidth="1"/>
    <col min="7432" max="7432" width="10" style="36" customWidth="1"/>
    <col min="7433" max="7433" width="9.85546875" style="36" customWidth="1"/>
    <col min="7434" max="7434" width="0" style="36" hidden="1" customWidth="1"/>
    <col min="7435" max="7435" width="9.85546875" style="36" customWidth="1"/>
    <col min="7436" max="7436" width="10.7109375" style="36" customWidth="1"/>
    <col min="7437" max="7437" width="10" style="36" bestFit="1" customWidth="1"/>
    <col min="7438" max="7439" width="9.42578125" style="36" customWidth="1"/>
    <col min="7440" max="7682" width="9.140625" style="36"/>
    <col min="7683" max="7683" width="4.28515625" style="36" customWidth="1"/>
    <col min="7684" max="7684" width="8.85546875" style="36" customWidth="1"/>
    <col min="7685" max="7685" width="60.5703125" style="36" customWidth="1"/>
    <col min="7686" max="7686" width="5.85546875" style="36" customWidth="1"/>
    <col min="7687" max="7687" width="0" style="36" hidden="1" customWidth="1"/>
    <col min="7688" max="7688" width="10" style="36" customWidth="1"/>
    <col min="7689" max="7689" width="9.85546875" style="36" customWidth="1"/>
    <col min="7690" max="7690" width="0" style="36" hidden="1" customWidth="1"/>
    <col min="7691" max="7691" width="9.85546875" style="36" customWidth="1"/>
    <col min="7692" max="7692" width="10.7109375" style="36" customWidth="1"/>
    <col min="7693" max="7693" width="10" style="36" bestFit="1" customWidth="1"/>
    <col min="7694" max="7695" width="9.42578125" style="36" customWidth="1"/>
    <col min="7696" max="7938" width="9.140625" style="36"/>
    <col min="7939" max="7939" width="4.28515625" style="36" customWidth="1"/>
    <col min="7940" max="7940" width="8.85546875" style="36" customWidth="1"/>
    <col min="7941" max="7941" width="60.5703125" style="36" customWidth="1"/>
    <col min="7942" max="7942" width="5.85546875" style="36" customWidth="1"/>
    <col min="7943" max="7943" width="0" style="36" hidden="1" customWidth="1"/>
    <col min="7944" max="7944" width="10" style="36" customWidth="1"/>
    <col min="7945" max="7945" width="9.85546875" style="36" customWidth="1"/>
    <col min="7946" max="7946" width="0" style="36" hidden="1" customWidth="1"/>
    <col min="7947" max="7947" width="9.85546875" style="36" customWidth="1"/>
    <col min="7948" max="7948" width="10.7109375" style="36" customWidth="1"/>
    <col min="7949" max="7949" width="10" style="36" bestFit="1" customWidth="1"/>
    <col min="7950" max="7951" width="9.42578125" style="36" customWidth="1"/>
    <col min="7952" max="8194" width="9.140625" style="36"/>
    <col min="8195" max="8195" width="4.28515625" style="36" customWidth="1"/>
    <col min="8196" max="8196" width="8.85546875" style="36" customWidth="1"/>
    <col min="8197" max="8197" width="60.5703125" style="36" customWidth="1"/>
    <col min="8198" max="8198" width="5.85546875" style="36" customWidth="1"/>
    <col min="8199" max="8199" width="0" style="36" hidden="1" customWidth="1"/>
    <col min="8200" max="8200" width="10" style="36" customWidth="1"/>
    <col min="8201" max="8201" width="9.85546875" style="36" customWidth="1"/>
    <col min="8202" max="8202" width="0" style="36" hidden="1" customWidth="1"/>
    <col min="8203" max="8203" width="9.85546875" style="36" customWidth="1"/>
    <col min="8204" max="8204" width="10.7109375" style="36" customWidth="1"/>
    <col min="8205" max="8205" width="10" style="36" bestFit="1" customWidth="1"/>
    <col min="8206" max="8207" width="9.42578125" style="36" customWidth="1"/>
    <col min="8208" max="8450" width="9.140625" style="36"/>
    <col min="8451" max="8451" width="4.28515625" style="36" customWidth="1"/>
    <col min="8452" max="8452" width="8.85546875" style="36" customWidth="1"/>
    <col min="8453" max="8453" width="60.5703125" style="36" customWidth="1"/>
    <col min="8454" max="8454" width="5.85546875" style="36" customWidth="1"/>
    <col min="8455" max="8455" width="0" style="36" hidden="1" customWidth="1"/>
    <col min="8456" max="8456" width="10" style="36" customWidth="1"/>
    <col min="8457" max="8457" width="9.85546875" style="36" customWidth="1"/>
    <col min="8458" max="8458" width="0" style="36" hidden="1" customWidth="1"/>
    <col min="8459" max="8459" width="9.85546875" style="36" customWidth="1"/>
    <col min="8460" max="8460" width="10.7109375" style="36" customWidth="1"/>
    <col min="8461" max="8461" width="10" style="36" bestFit="1" customWidth="1"/>
    <col min="8462" max="8463" width="9.42578125" style="36" customWidth="1"/>
    <col min="8464" max="8706" width="9.140625" style="36"/>
    <col min="8707" max="8707" width="4.28515625" style="36" customWidth="1"/>
    <col min="8708" max="8708" width="8.85546875" style="36" customWidth="1"/>
    <col min="8709" max="8709" width="60.5703125" style="36" customWidth="1"/>
    <col min="8710" max="8710" width="5.85546875" style="36" customWidth="1"/>
    <col min="8711" max="8711" width="0" style="36" hidden="1" customWidth="1"/>
    <col min="8712" max="8712" width="10" style="36" customWidth="1"/>
    <col min="8713" max="8713" width="9.85546875" style="36" customWidth="1"/>
    <col min="8714" max="8714" width="0" style="36" hidden="1" customWidth="1"/>
    <col min="8715" max="8715" width="9.85546875" style="36" customWidth="1"/>
    <col min="8716" max="8716" width="10.7109375" style="36" customWidth="1"/>
    <col min="8717" max="8717" width="10" style="36" bestFit="1" customWidth="1"/>
    <col min="8718" max="8719" width="9.42578125" style="36" customWidth="1"/>
    <col min="8720" max="8962" width="9.140625" style="36"/>
    <col min="8963" max="8963" width="4.28515625" style="36" customWidth="1"/>
    <col min="8964" max="8964" width="8.85546875" style="36" customWidth="1"/>
    <col min="8965" max="8965" width="60.5703125" style="36" customWidth="1"/>
    <col min="8966" max="8966" width="5.85546875" style="36" customWidth="1"/>
    <col min="8967" max="8967" width="0" style="36" hidden="1" customWidth="1"/>
    <col min="8968" max="8968" width="10" style="36" customWidth="1"/>
    <col min="8969" max="8969" width="9.85546875" style="36" customWidth="1"/>
    <col min="8970" max="8970" width="0" style="36" hidden="1" customWidth="1"/>
    <col min="8971" max="8971" width="9.85546875" style="36" customWidth="1"/>
    <col min="8972" max="8972" width="10.7109375" style="36" customWidth="1"/>
    <col min="8973" max="8973" width="10" style="36" bestFit="1" customWidth="1"/>
    <col min="8974" max="8975" width="9.42578125" style="36" customWidth="1"/>
    <col min="8976" max="9218" width="9.140625" style="36"/>
    <col min="9219" max="9219" width="4.28515625" style="36" customWidth="1"/>
    <col min="9220" max="9220" width="8.85546875" style="36" customWidth="1"/>
    <col min="9221" max="9221" width="60.5703125" style="36" customWidth="1"/>
    <col min="9222" max="9222" width="5.85546875" style="36" customWidth="1"/>
    <col min="9223" max="9223" width="0" style="36" hidden="1" customWidth="1"/>
    <col min="9224" max="9224" width="10" style="36" customWidth="1"/>
    <col min="9225" max="9225" width="9.85546875" style="36" customWidth="1"/>
    <col min="9226" max="9226" width="0" style="36" hidden="1" customWidth="1"/>
    <col min="9227" max="9227" width="9.85546875" style="36" customWidth="1"/>
    <col min="9228" max="9228" width="10.7109375" style="36" customWidth="1"/>
    <col min="9229" max="9229" width="10" style="36" bestFit="1" customWidth="1"/>
    <col min="9230" max="9231" width="9.42578125" style="36" customWidth="1"/>
    <col min="9232" max="9474" width="9.140625" style="36"/>
    <col min="9475" max="9475" width="4.28515625" style="36" customWidth="1"/>
    <col min="9476" max="9476" width="8.85546875" style="36" customWidth="1"/>
    <col min="9477" max="9477" width="60.5703125" style="36" customWidth="1"/>
    <col min="9478" max="9478" width="5.85546875" style="36" customWidth="1"/>
    <col min="9479" max="9479" width="0" style="36" hidden="1" customWidth="1"/>
    <col min="9480" max="9480" width="10" style="36" customWidth="1"/>
    <col min="9481" max="9481" width="9.85546875" style="36" customWidth="1"/>
    <col min="9482" max="9482" width="0" style="36" hidden="1" customWidth="1"/>
    <col min="9483" max="9483" width="9.85546875" style="36" customWidth="1"/>
    <col min="9484" max="9484" width="10.7109375" style="36" customWidth="1"/>
    <col min="9485" max="9485" width="10" style="36" bestFit="1" customWidth="1"/>
    <col min="9486" max="9487" width="9.42578125" style="36" customWidth="1"/>
    <col min="9488" max="9730" width="9.140625" style="36"/>
    <col min="9731" max="9731" width="4.28515625" style="36" customWidth="1"/>
    <col min="9732" max="9732" width="8.85546875" style="36" customWidth="1"/>
    <col min="9733" max="9733" width="60.5703125" style="36" customWidth="1"/>
    <col min="9734" max="9734" width="5.85546875" style="36" customWidth="1"/>
    <col min="9735" max="9735" width="0" style="36" hidden="1" customWidth="1"/>
    <col min="9736" max="9736" width="10" style="36" customWidth="1"/>
    <col min="9737" max="9737" width="9.85546875" style="36" customWidth="1"/>
    <col min="9738" max="9738" width="0" style="36" hidden="1" customWidth="1"/>
    <col min="9739" max="9739" width="9.85546875" style="36" customWidth="1"/>
    <col min="9740" max="9740" width="10.7109375" style="36" customWidth="1"/>
    <col min="9741" max="9741" width="10" style="36" bestFit="1" customWidth="1"/>
    <col min="9742" max="9743" width="9.42578125" style="36" customWidth="1"/>
    <col min="9744" max="9986" width="9.140625" style="36"/>
    <col min="9987" max="9987" width="4.28515625" style="36" customWidth="1"/>
    <col min="9988" max="9988" width="8.85546875" style="36" customWidth="1"/>
    <col min="9989" max="9989" width="60.5703125" style="36" customWidth="1"/>
    <col min="9990" max="9990" width="5.85546875" style="36" customWidth="1"/>
    <col min="9991" max="9991" width="0" style="36" hidden="1" customWidth="1"/>
    <col min="9992" max="9992" width="10" style="36" customWidth="1"/>
    <col min="9993" max="9993" width="9.85546875" style="36" customWidth="1"/>
    <col min="9994" max="9994" width="0" style="36" hidden="1" customWidth="1"/>
    <col min="9995" max="9995" width="9.85546875" style="36" customWidth="1"/>
    <col min="9996" max="9996" width="10.7109375" style="36" customWidth="1"/>
    <col min="9997" max="9997" width="10" style="36" bestFit="1" customWidth="1"/>
    <col min="9998" max="9999" width="9.42578125" style="36" customWidth="1"/>
    <col min="10000" max="10242" width="9.140625" style="36"/>
    <col min="10243" max="10243" width="4.28515625" style="36" customWidth="1"/>
    <col min="10244" max="10244" width="8.85546875" style="36" customWidth="1"/>
    <col min="10245" max="10245" width="60.5703125" style="36" customWidth="1"/>
    <col min="10246" max="10246" width="5.85546875" style="36" customWidth="1"/>
    <col min="10247" max="10247" width="0" style="36" hidden="1" customWidth="1"/>
    <col min="10248" max="10248" width="10" style="36" customWidth="1"/>
    <col min="10249" max="10249" width="9.85546875" style="36" customWidth="1"/>
    <col min="10250" max="10250" width="0" style="36" hidden="1" customWidth="1"/>
    <col min="10251" max="10251" width="9.85546875" style="36" customWidth="1"/>
    <col min="10252" max="10252" width="10.7109375" style="36" customWidth="1"/>
    <col min="10253" max="10253" width="10" style="36" bestFit="1" customWidth="1"/>
    <col min="10254" max="10255" width="9.42578125" style="36" customWidth="1"/>
    <col min="10256" max="10498" width="9.140625" style="36"/>
    <col min="10499" max="10499" width="4.28515625" style="36" customWidth="1"/>
    <col min="10500" max="10500" width="8.85546875" style="36" customWidth="1"/>
    <col min="10501" max="10501" width="60.5703125" style="36" customWidth="1"/>
    <col min="10502" max="10502" width="5.85546875" style="36" customWidth="1"/>
    <col min="10503" max="10503" width="0" style="36" hidden="1" customWidth="1"/>
    <col min="10504" max="10504" width="10" style="36" customWidth="1"/>
    <col min="10505" max="10505" width="9.85546875" style="36" customWidth="1"/>
    <col min="10506" max="10506" width="0" style="36" hidden="1" customWidth="1"/>
    <col min="10507" max="10507" width="9.85546875" style="36" customWidth="1"/>
    <col min="10508" max="10508" width="10.7109375" style="36" customWidth="1"/>
    <col min="10509" max="10509" width="10" style="36" bestFit="1" customWidth="1"/>
    <col min="10510" max="10511" width="9.42578125" style="36" customWidth="1"/>
    <col min="10512" max="10754" width="9.140625" style="36"/>
    <col min="10755" max="10755" width="4.28515625" style="36" customWidth="1"/>
    <col min="10756" max="10756" width="8.85546875" style="36" customWidth="1"/>
    <col min="10757" max="10757" width="60.5703125" style="36" customWidth="1"/>
    <col min="10758" max="10758" width="5.85546875" style="36" customWidth="1"/>
    <col min="10759" max="10759" width="0" style="36" hidden="1" customWidth="1"/>
    <col min="10760" max="10760" width="10" style="36" customWidth="1"/>
    <col min="10761" max="10761" width="9.85546875" style="36" customWidth="1"/>
    <col min="10762" max="10762" width="0" style="36" hidden="1" customWidth="1"/>
    <col min="10763" max="10763" width="9.85546875" style="36" customWidth="1"/>
    <col min="10764" max="10764" width="10.7109375" style="36" customWidth="1"/>
    <col min="10765" max="10765" width="10" style="36" bestFit="1" customWidth="1"/>
    <col min="10766" max="10767" width="9.42578125" style="36" customWidth="1"/>
    <col min="10768" max="11010" width="9.140625" style="36"/>
    <col min="11011" max="11011" width="4.28515625" style="36" customWidth="1"/>
    <col min="11012" max="11012" width="8.85546875" style="36" customWidth="1"/>
    <col min="11013" max="11013" width="60.5703125" style="36" customWidth="1"/>
    <col min="11014" max="11014" width="5.85546875" style="36" customWidth="1"/>
    <col min="11015" max="11015" width="0" style="36" hidden="1" customWidth="1"/>
    <col min="11016" max="11016" width="10" style="36" customWidth="1"/>
    <col min="11017" max="11017" width="9.85546875" style="36" customWidth="1"/>
    <col min="11018" max="11018" width="0" style="36" hidden="1" customWidth="1"/>
    <col min="11019" max="11019" width="9.85546875" style="36" customWidth="1"/>
    <col min="11020" max="11020" width="10.7109375" style="36" customWidth="1"/>
    <col min="11021" max="11021" width="10" style="36" bestFit="1" customWidth="1"/>
    <col min="11022" max="11023" width="9.42578125" style="36" customWidth="1"/>
    <col min="11024" max="11266" width="9.140625" style="36"/>
    <col min="11267" max="11267" width="4.28515625" style="36" customWidth="1"/>
    <col min="11268" max="11268" width="8.85546875" style="36" customWidth="1"/>
    <col min="11269" max="11269" width="60.5703125" style="36" customWidth="1"/>
    <col min="11270" max="11270" width="5.85546875" style="36" customWidth="1"/>
    <col min="11271" max="11271" width="0" style="36" hidden="1" customWidth="1"/>
    <col min="11272" max="11272" width="10" style="36" customWidth="1"/>
    <col min="11273" max="11273" width="9.85546875" style="36" customWidth="1"/>
    <col min="11274" max="11274" width="0" style="36" hidden="1" customWidth="1"/>
    <col min="11275" max="11275" width="9.85546875" style="36" customWidth="1"/>
    <col min="11276" max="11276" width="10.7109375" style="36" customWidth="1"/>
    <col min="11277" max="11277" width="10" style="36" bestFit="1" customWidth="1"/>
    <col min="11278" max="11279" width="9.42578125" style="36" customWidth="1"/>
    <col min="11280" max="11522" width="9.140625" style="36"/>
    <col min="11523" max="11523" width="4.28515625" style="36" customWidth="1"/>
    <col min="11524" max="11524" width="8.85546875" style="36" customWidth="1"/>
    <col min="11525" max="11525" width="60.5703125" style="36" customWidth="1"/>
    <col min="11526" max="11526" width="5.85546875" style="36" customWidth="1"/>
    <col min="11527" max="11527" width="0" style="36" hidden="1" customWidth="1"/>
    <col min="11528" max="11528" width="10" style="36" customWidth="1"/>
    <col min="11529" max="11529" width="9.85546875" style="36" customWidth="1"/>
    <col min="11530" max="11530" width="0" style="36" hidden="1" customWidth="1"/>
    <col min="11531" max="11531" width="9.85546875" style="36" customWidth="1"/>
    <col min="11532" max="11532" width="10.7109375" style="36" customWidth="1"/>
    <col min="11533" max="11533" width="10" style="36" bestFit="1" customWidth="1"/>
    <col min="11534" max="11535" width="9.42578125" style="36" customWidth="1"/>
    <col min="11536" max="11778" width="9.140625" style="36"/>
    <col min="11779" max="11779" width="4.28515625" style="36" customWidth="1"/>
    <col min="11780" max="11780" width="8.85546875" style="36" customWidth="1"/>
    <col min="11781" max="11781" width="60.5703125" style="36" customWidth="1"/>
    <col min="11782" max="11782" width="5.85546875" style="36" customWidth="1"/>
    <col min="11783" max="11783" width="0" style="36" hidden="1" customWidth="1"/>
    <col min="11784" max="11784" width="10" style="36" customWidth="1"/>
    <col min="11785" max="11785" width="9.85546875" style="36" customWidth="1"/>
    <col min="11786" max="11786" width="0" style="36" hidden="1" customWidth="1"/>
    <col min="11787" max="11787" width="9.85546875" style="36" customWidth="1"/>
    <col min="11788" max="11788" width="10.7109375" style="36" customWidth="1"/>
    <col min="11789" max="11789" width="10" style="36" bestFit="1" customWidth="1"/>
    <col min="11790" max="11791" width="9.42578125" style="36" customWidth="1"/>
    <col min="11792" max="12034" width="9.140625" style="36"/>
    <col min="12035" max="12035" width="4.28515625" style="36" customWidth="1"/>
    <col min="12036" max="12036" width="8.85546875" style="36" customWidth="1"/>
    <col min="12037" max="12037" width="60.5703125" style="36" customWidth="1"/>
    <col min="12038" max="12038" width="5.85546875" style="36" customWidth="1"/>
    <col min="12039" max="12039" width="0" style="36" hidden="1" customWidth="1"/>
    <col min="12040" max="12040" width="10" style="36" customWidth="1"/>
    <col min="12041" max="12041" width="9.85546875" style="36" customWidth="1"/>
    <col min="12042" max="12042" width="0" style="36" hidden="1" customWidth="1"/>
    <col min="12043" max="12043" width="9.85546875" style="36" customWidth="1"/>
    <col min="12044" max="12044" width="10.7109375" style="36" customWidth="1"/>
    <col min="12045" max="12045" width="10" style="36" bestFit="1" customWidth="1"/>
    <col min="12046" max="12047" width="9.42578125" style="36" customWidth="1"/>
    <col min="12048" max="12290" width="9.140625" style="36"/>
    <col min="12291" max="12291" width="4.28515625" style="36" customWidth="1"/>
    <col min="12292" max="12292" width="8.85546875" style="36" customWidth="1"/>
    <col min="12293" max="12293" width="60.5703125" style="36" customWidth="1"/>
    <col min="12294" max="12294" width="5.85546875" style="36" customWidth="1"/>
    <col min="12295" max="12295" width="0" style="36" hidden="1" customWidth="1"/>
    <col min="12296" max="12296" width="10" style="36" customWidth="1"/>
    <col min="12297" max="12297" width="9.85546875" style="36" customWidth="1"/>
    <col min="12298" max="12298" width="0" style="36" hidden="1" customWidth="1"/>
    <col min="12299" max="12299" width="9.85546875" style="36" customWidth="1"/>
    <col min="12300" max="12300" width="10.7109375" style="36" customWidth="1"/>
    <col min="12301" max="12301" width="10" style="36" bestFit="1" customWidth="1"/>
    <col min="12302" max="12303" width="9.42578125" style="36" customWidth="1"/>
    <col min="12304" max="12546" width="9.140625" style="36"/>
    <col min="12547" max="12547" width="4.28515625" style="36" customWidth="1"/>
    <col min="12548" max="12548" width="8.85546875" style="36" customWidth="1"/>
    <col min="12549" max="12549" width="60.5703125" style="36" customWidth="1"/>
    <col min="12550" max="12550" width="5.85546875" style="36" customWidth="1"/>
    <col min="12551" max="12551" width="0" style="36" hidden="1" customWidth="1"/>
    <col min="12552" max="12552" width="10" style="36" customWidth="1"/>
    <col min="12553" max="12553" width="9.85546875" style="36" customWidth="1"/>
    <col min="12554" max="12554" width="0" style="36" hidden="1" customWidth="1"/>
    <col min="12555" max="12555" width="9.85546875" style="36" customWidth="1"/>
    <col min="12556" max="12556" width="10.7109375" style="36" customWidth="1"/>
    <col min="12557" max="12557" width="10" style="36" bestFit="1" customWidth="1"/>
    <col min="12558" max="12559" width="9.42578125" style="36" customWidth="1"/>
    <col min="12560" max="12802" width="9.140625" style="36"/>
    <col min="12803" max="12803" width="4.28515625" style="36" customWidth="1"/>
    <col min="12804" max="12804" width="8.85546875" style="36" customWidth="1"/>
    <col min="12805" max="12805" width="60.5703125" style="36" customWidth="1"/>
    <col min="12806" max="12806" width="5.85546875" style="36" customWidth="1"/>
    <col min="12807" max="12807" width="0" style="36" hidden="1" customWidth="1"/>
    <col min="12808" max="12808" width="10" style="36" customWidth="1"/>
    <col min="12809" max="12809" width="9.85546875" style="36" customWidth="1"/>
    <col min="12810" max="12810" width="0" style="36" hidden="1" customWidth="1"/>
    <col min="12811" max="12811" width="9.85546875" style="36" customWidth="1"/>
    <col min="12812" max="12812" width="10.7109375" style="36" customWidth="1"/>
    <col min="12813" max="12813" width="10" style="36" bestFit="1" customWidth="1"/>
    <col min="12814" max="12815" width="9.42578125" style="36" customWidth="1"/>
    <col min="12816" max="13058" width="9.140625" style="36"/>
    <col min="13059" max="13059" width="4.28515625" style="36" customWidth="1"/>
    <col min="13060" max="13060" width="8.85546875" style="36" customWidth="1"/>
    <col min="13061" max="13061" width="60.5703125" style="36" customWidth="1"/>
    <col min="13062" max="13062" width="5.85546875" style="36" customWidth="1"/>
    <col min="13063" max="13063" width="0" style="36" hidden="1" customWidth="1"/>
    <col min="13064" max="13064" width="10" style="36" customWidth="1"/>
    <col min="13065" max="13065" width="9.85546875" style="36" customWidth="1"/>
    <col min="13066" max="13066" width="0" style="36" hidden="1" customWidth="1"/>
    <col min="13067" max="13067" width="9.85546875" style="36" customWidth="1"/>
    <col min="13068" max="13068" width="10.7109375" style="36" customWidth="1"/>
    <col min="13069" max="13069" width="10" style="36" bestFit="1" customWidth="1"/>
    <col min="13070" max="13071" width="9.42578125" style="36" customWidth="1"/>
    <col min="13072" max="13314" width="9.140625" style="36"/>
    <col min="13315" max="13315" width="4.28515625" style="36" customWidth="1"/>
    <col min="13316" max="13316" width="8.85546875" style="36" customWidth="1"/>
    <col min="13317" max="13317" width="60.5703125" style="36" customWidth="1"/>
    <col min="13318" max="13318" width="5.85546875" style="36" customWidth="1"/>
    <col min="13319" max="13319" width="0" style="36" hidden="1" customWidth="1"/>
    <col min="13320" max="13320" width="10" style="36" customWidth="1"/>
    <col min="13321" max="13321" width="9.85546875" style="36" customWidth="1"/>
    <col min="13322" max="13322" width="0" style="36" hidden="1" customWidth="1"/>
    <col min="13323" max="13323" width="9.85546875" style="36" customWidth="1"/>
    <col min="13324" max="13324" width="10.7109375" style="36" customWidth="1"/>
    <col min="13325" max="13325" width="10" style="36" bestFit="1" customWidth="1"/>
    <col min="13326" max="13327" width="9.42578125" style="36" customWidth="1"/>
    <col min="13328" max="13570" width="9.140625" style="36"/>
    <col min="13571" max="13571" width="4.28515625" style="36" customWidth="1"/>
    <col min="13572" max="13572" width="8.85546875" style="36" customWidth="1"/>
    <col min="13573" max="13573" width="60.5703125" style="36" customWidth="1"/>
    <col min="13574" max="13574" width="5.85546875" style="36" customWidth="1"/>
    <col min="13575" max="13575" width="0" style="36" hidden="1" customWidth="1"/>
    <col min="13576" max="13576" width="10" style="36" customWidth="1"/>
    <col min="13577" max="13577" width="9.85546875" style="36" customWidth="1"/>
    <col min="13578" max="13578" width="0" style="36" hidden="1" customWidth="1"/>
    <col min="13579" max="13579" width="9.85546875" style="36" customWidth="1"/>
    <col min="13580" max="13580" width="10.7109375" style="36" customWidth="1"/>
    <col min="13581" max="13581" width="10" style="36" bestFit="1" customWidth="1"/>
    <col min="13582" max="13583" width="9.42578125" style="36" customWidth="1"/>
    <col min="13584" max="13826" width="9.140625" style="36"/>
    <col min="13827" max="13827" width="4.28515625" style="36" customWidth="1"/>
    <col min="13828" max="13828" width="8.85546875" style="36" customWidth="1"/>
    <col min="13829" max="13829" width="60.5703125" style="36" customWidth="1"/>
    <col min="13830" max="13830" width="5.85546875" style="36" customWidth="1"/>
    <col min="13831" max="13831" width="0" style="36" hidden="1" customWidth="1"/>
    <col min="13832" max="13832" width="10" style="36" customWidth="1"/>
    <col min="13833" max="13833" width="9.85546875" style="36" customWidth="1"/>
    <col min="13834" max="13834" width="0" style="36" hidden="1" customWidth="1"/>
    <col min="13835" max="13835" width="9.85546875" style="36" customWidth="1"/>
    <col min="13836" max="13836" width="10.7109375" style="36" customWidth="1"/>
    <col min="13837" max="13837" width="10" style="36" bestFit="1" customWidth="1"/>
    <col min="13838" max="13839" width="9.42578125" style="36" customWidth="1"/>
    <col min="13840" max="14082" width="9.140625" style="36"/>
    <col min="14083" max="14083" width="4.28515625" style="36" customWidth="1"/>
    <col min="14084" max="14084" width="8.85546875" style="36" customWidth="1"/>
    <col min="14085" max="14085" width="60.5703125" style="36" customWidth="1"/>
    <col min="14086" max="14086" width="5.85546875" style="36" customWidth="1"/>
    <col min="14087" max="14087" width="0" style="36" hidden="1" customWidth="1"/>
    <col min="14088" max="14088" width="10" style="36" customWidth="1"/>
    <col min="14089" max="14089" width="9.85546875" style="36" customWidth="1"/>
    <col min="14090" max="14090" width="0" style="36" hidden="1" customWidth="1"/>
    <col min="14091" max="14091" width="9.85546875" style="36" customWidth="1"/>
    <col min="14092" max="14092" width="10.7109375" style="36" customWidth="1"/>
    <col min="14093" max="14093" width="10" style="36" bestFit="1" customWidth="1"/>
    <col min="14094" max="14095" width="9.42578125" style="36" customWidth="1"/>
    <col min="14096" max="14338" width="9.140625" style="36"/>
    <col min="14339" max="14339" width="4.28515625" style="36" customWidth="1"/>
    <col min="14340" max="14340" width="8.85546875" style="36" customWidth="1"/>
    <col min="14341" max="14341" width="60.5703125" style="36" customWidth="1"/>
    <col min="14342" max="14342" width="5.85546875" style="36" customWidth="1"/>
    <col min="14343" max="14343" width="0" style="36" hidden="1" customWidth="1"/>
    <col min="14344" max="14344" width="10" style="36" customWidth="1"/>
    <col min="14345" max="14345" width="9.85546875" style="36" customWidth="1"/>
    <col min="14346" max="14346" width="0" style="36" hidden="1" customWidth="1"/>
    <col min="14347" max="14347" width="9.85546875" style="36" customWidth="1"/>
    <col min="14348" max="14348" width="10.7109375" style="36" customWidth="1"/>
    <col min="14349" max="14349" width="10" style="36" bestFit="1" customWidth="1"/>
    <col min="14350" max="14351" width="9.42578125" style="36" customWidth="1"/>
    <col min="14352" max="14594" width="9.140625" style="36"/>
    <col min="14595" max="14595" width="4.28515625" style="36" customWidth="1"/>
    <col min="14596" max="14596" width="8.85546875" style="36" customWidth="1"/>
    <col min="14597" max="14597" width="60.5703125" style="36" customWidth="1"/>
    <col min="14598" max="14598" width="5.85546875" style="36" customWidth="1"/>
    <col min="14599" max="14599" width="0" style="36" hidden="1" customWidth="1"/>
    <col min="14600" max="14600" width="10" style="36" customWidth="1"/>
    <col min="14601" max="14601" width="9.85546875" style="36" customWidth="1"/>
    <col min="14602" max="14602" width="0" style="36" hidden="1" customWidth="1"/>
    <col min="14603" max="14603" width="9.85546875" style="36" customWidth="1"/>
    <col min="14604" max="14604" width="10.7109375" style="36" customWidth="1"/>
    <col min="14605" max="14605" width="10" style="36" bestFit="1" customWidth="1"/>
    <col min="14606" max="14607" width="9.42578125" style="36" customWidth="1"/>
    <col min="14608" max="14850" width="9.140625" style="36"/>
    <col min="14851" max="14851" width="4.28515625" style="36" customWidth="1"/>
    <col min="14852" max="14852" width="8.85546875" style="36" customWidth="1"/>
    <col min="14853" max="14853" width="60.5703125" style="36" customWidth="1"/>
    <col min="14854" max="14854" width="5.85546875" style="36" customWidth="1"/>
    <col min="14855" max="14855" width="0" style="36" hidden="1" customWidth="1"/>
    <col min="14856" max="14856" width="10" style="36" customWidth="1"/>
    <col min="14857" max="14857" width="9.85546875" style="36" customWidth="1"/>
    <col min="14858" max="14858" width="0" style="36" hidden="1" customWidth="1"/>
    <col min="14859" max="14859" width="9.85546875" style="36" customWidth="1"/>
    <col min="14860" max="14860" width="10.7109375" style="36" customWidth="1"/>
    <col min="14861" max="14861" width="10" style="36" bestFit="1" customWidth="1"/>
    <col min="14862" max="14863" width="9.42578125" style="36" customWidth="1"/>
    <col min="14864" max="15106" width="9.140625" style="36"/>
    <col min="15107" max="15107" width="4.28515625" style="36" customWidth="1"/>
    <col min="15108" max="15108" width="8.85546875" style="36" customWidth="1"/>
    <col min="15109" max="15109" width="60.5703125" style="36" customWidth="1"/>
    <col min="15110" max="15110" width="5.85546875" style="36" customWidth="1"/>
    <col min="15111" max="15111" width="0" style="36" hidden="1" customWidth="1"/>
    <col min="15112" max="15112" width="10" style="36" customWidth="1"/>
    <col min="15113" max="15113" width="9.85546875" style="36" customWidth="1"/>
    <col min="15114" max="15114" width="0" style="36" hidden="1" customWidth="1"/>
    <col min="15115" max="15115" width="9.85546875" style="36" customWidth="1"/>
    <col min="15116" max="15116" width="10.7109375" style="36" customWidth="1"/>
    <col min="15117" max="15117" width="10" style="36" bestFit="1" customWidth="1"/>
    <col min="15118" max="15119" width="9.42578125" style="36" customWidth="1"/>
    <col min="15120" max="15362" width="9.140625" style="36"/>
    <col min="15363" max="15363" width="4.28515625" style="36" customWidth="1"/>
    <col min="15364" max="15364" width="8.85546875" style="36" customWidth="1"/>
    <col min="15365" max="15365" width="60.5703125" style="36" customWidth="1"/>
    <col min="15366" max="15366" width="5.85546875" style="36" customWidth="1"/>
    <col min="15367" max="15367" width="0" style="36" hidden="1" customWidth="1"/>
    <col min="15368" max="15368" width="10" style="36" customWidth="1"/>
    <col min="15369" max="15369" width="9.85546875" style="36" customWidth="1"/>
    <col min="15370" max="15370" width="0" style="36" hidden="1" customWidth="1"/>
    <col min="15371" max="15371" width="9.85546875" style="36" customWidth="1"/>
    <col min="15372" max="15372" width="10.7109375" style="36" customWidth="1"/>
    <col min="15373" max="15373" width="10" style="36" bestFit="1" customWidth="1"/>
    <col min="15374" max="15375" width="9.42578125" style="36" customWidth="1"/>
    <col min="15376" max="15618" width="9.140625" style="36"/>
    <col min="15619" max="15619" width="4.28515625" style="36" customWidth="1"/>
    <col min="15620" max="15620" width="8.85546875" style="36" customWidth="1"/>
    <col min="15621" max="15621" width="60.5703125" style="36" customWidth="1"/>
    <col min="15622" max="15622" width="5.85546875" style="36" customWidth="1"/>
    <col min="15623" max="15623" width="0" style="36" hidden="1" customWidth="1"/>
    <col min="15624" max="15624" width="10" style="36" customWidth="1"/>
    <col min="15625" max="15625" width="9.85546875" style="36" customWidth="1"/>
    <col min="15626" max="15626" width="0" style="36" hidden="1" customWidth="1"/>
    <col min="15627" max="15627" width="9.85546875" style="36" customWidth="1"/>
    <col min="15628" max="15628" width="10.7109375" style="36" customWidth="1"/>
    <col min="15629" max="15629" width="10" style="36" bestFit="1" customWidth="1"/>
    <col min="15630" max="15631" width="9.42578125" style="36" customWidth="1"/>
    <col min="15632" max="15874" width="9.140625" style="36"/>
    <col min="15875" max="15875" width="4.28515625" style="36" customWidth="1"/>
    <col min="15876" max="15876" width="8.85546875" style="36" customWidth="1"/>
    <col min="15877" max="15877" width="60.5703125" style="36" customWidth="1"/>
    <col min="15878" max="15878" width="5.85546875" style="36" customWidth="1"/>
    <col min="15879" max="15879" width="0" style="36" hidden="1" customWidth="1"/>
    <col min="15880" max="15880" width="10" style="36" customWidth="1"/>
    <col min="15881" max="15881" width="9.85546875" style="36" customWidth="1"/>
    <col min="15882" max="15882" width="0" style="36" hidden="1" customWidth="1"/>
    <col min="15883" max="15883" width="9.85546875" style="36" customWidth="1"/>
    <col min="15884" max="15884" width="10.7109375" style="36" customWidth="1"/>
    <col min="15885" max="15885" width="10" style="36" bestFit="1" customWidth="1"/>
    <col min="15886" max="15887" width="9.42578125" style="36" customWidth="1"/>
    <col min="15888" max="16130" width="9.140625" style="36"/>
    <col min="16131" max="16131" width="4.28515625" style="36" customWidth="1"/>
    <col min="16132" max="16132" width="8.85546875" style="36" customWidth="1"/>
    <col min="16133" max="16133" width="60.5703125" style="36" customWidth="1"/>
    <col min="16134" max="16134" width="5.85546875" style="36" customWidth="1"/>
    <col min="16135" max="16135" width="0" style="36" hidden="1" customWidth="1"/>
    <col min="16136" max="16136" width="10" style="36" customWidth="1"/>
    <col min="16137" max="16137" width="9.85546875" style="36" customWidth="1"/>
    <col min="16138" max="16138" width="0" style="36" hidden="1" customWidth="1"/>
    <col min="16139" max="16139" width="9.85546875" style="36" customWidth="1"/>
    <col min="16140" max="16140" width="10.7109375" style="36" customWidth="1"/>
    <col min="16141" max="16141" width="10" style="36" bestFit="1" customWidth="1"/>
    <col min="16142" max="16143" width="9.42578125" style="36" customWidth="1"/>
    <col min="16144" max="16384" width="9.140625" style="36"/>
  </cols>
  <sheetData>
    <row r="1" spans="1:19">
      <c r="A1" s="31" t="s">
        <v>54</v>
      </c>
      <c r="B1" s="31" t="s">
        <v>54</v>
      </c>
      <c r="Q1" s="3" t="s">
        <v>0</v>
      </c>
      <c r="S1" s="3"/>
    </row>
    <row r="2" spans="1:19">
      <c r="Q2" s="32" t="s">
        <v>296</v>
      </c>
      <c r="S2" s="32"/>
    </row>
    <row r="3" spans="1:19">
      <c r="Q3" s="3" t="s">
        <v>434</v>
      </c>
      <c r="S3" s="3"/>
    </row>
    <row r="4" spans="1:19">
      <c r="Q4" s="3" t="s">
        <v>436</v>
      </c>
      <c r="S4" s="3"/>
    </row>
    <row r="5" spans="1:19">
      <c r="Q5" s="35" t="s">
        <v>1</v>
      </c>
      <c r="S5" s="35"/>
    </row>
    <row r="6" spans="1:19" ht="12" customHeight="1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7"/>
    </row>
    <row r="7" spans="1:19">
      <c r="A7" s="437" t="s">
        <v>92</v>
      </c>
      <c r="B7" s="437"/>
      <c r="C7" s="437"/>
      <c r="D7" s="437"/>
      <c r="E7" s="437"/>
      <c r="F7" s="437"/>
      <c r="G7" s="437"/>
      <c r="H7" s="437"/>
      <c r="I7" s="437"/>
      <c r="J7" s="437"/>
      <c r="K7" s="437"/>
      <c r="L7" s="437"/>
      <c r="M7" s="437"/>
      <c r="N7" s="437"/>
      <c r="O7" s="437"/>
      <c r="P7" s="437"/>
      <c r="Q7" s="437"/>
      <c r="R7" s="437"/>
      <c r="S7" s="437"/>
    </row>
    <row r="8" spans="1:19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</row>
    <row r="9" spans="1:19" ht="24.6" customHeight="1">
      <c r="A9" s="60" t="s">
        <v>2</v>
      </c>
      <c r="B9" s="60" t="s">
        <v>3</v>
      </c>
      <c r="C9" s="438" t="s">
        <v>4</v>
      </c>
      <c r="D9" s="438"/>
      <c r="E9" s="58" t="s">
        <v>53</v>
      </c>
      <c r="F9" s="58" t="s">
        <v>62</v>
      </c>
      <c r="G9" s="439" t="s">
        <v>78</v>
      </c>
      <c r="H9" s="59" t="s">
        <v>79</v>
      </c>
      <c r="I9" s="439" t="s">
        <v>80</v>
      </c>
      <c r="J9" s="439" t="s">
        <v>93</v>
      </c>
      <c r="K9" s="439" t="s">
        <v>94</v>
      </c>
      <c r="L9" s="440" t="s">
        <v>95</v>
      </c>
      <c r="M9" s="439" t="s">
        <v>96</v>
      </c>
      <c r="N9" s="444" t="s">
        <v>233</v>
      </c>
      <c r="O9" s="444" t="s">
        <v>247</v>
      </c>
      <c r="P9" s="445" t="s">
        <v>248</v>
      </c>
      <c r="Q9" s="445" t="s">
        <v>249</v>
      </c>
      <c r="R9" s="441" t="s">
        <v>81</v>
      </c>
      <c r="S9" s="443" t="s">
        <v>97</v>
      </c>
    </row>
    <row r="10" spans="1:19" ht="29.45" customHeight="1">
      <c r="A10" s="60"/>
      <c r="B10" s="60"/>
      <c r="C10" s="438"/>
      <c r="D10" s="438"/>
      <c r="E10" s="58"/>
      <c r="F10" s="58"/>
      <c r="G10" s="439"/>
      <c r="H10" s="59"/>
      <c r="I10" s="439"/>
      <c r="J10" s="439"/>
      <c r="K10" s="439"/>
      <c r="L10" s="440"/>
      <c r="M10" s="439"/>
      <c r="N10" s="444"/>
      <c r="O10" s="444"/>
      <c r="P10" s="445"/>
      <c r="Q10" s="445"/>
      <c r="R10" s="442"/>
      <c r="S10" s="443"/>
    </row>
    <row r="11" spans="1:19">
      <c r="A11" s="60">
        <v>1</v>
      </c>
      <c r="B11" s="60">
        <v>2</v>
      </c>
      <c r="C11" s="61">
        <v>3</v>
      </c>
      <c r="D11" s="61">
        <v>4</v>
      </c>
      <c r="E11" s="60">
        <v>5</v>
      </c>
      <c r="F11" s="61">
        <v>6</v>
      </c>
      <c r="G11" s="60">
        <v>5</v>
      </c>
      <c r="H11" s="60"/>
      <c r="I11" s="61">
        <v>5</v>
      </c>
      <c r="J11" s="61">
        <v>6</v>
      </c>
      <c r="K11" s="61">
        <v>8</v>
      </c>
      <c r="L11" s="61">
        <v>9</v>
      </c>
      <c r="M11" s="61">
        <v>7</v>
      </c>
      <c r="N11" s="60">
        <v>8</v>
      </c>
      <c r="O11" s="60">
        <v>9</v>
      </c>
      <c r="P11" s="301"/>
      <c r="Q11" s="301"/>
      <c r="R11" s="61">
        <v>10</v>
      </c>
      <c r="S11" s="60">
        <v>11</v>
      </c>
    </row>
    <row r="12" spans="1:19">
      <c r="A12" s="62">
        <v>1</v>
      </c>
      <c r="B12" s="63">
        <v>11111</v>
      </c>
      <c r="C12" s="64" t="s">
        <v>98</v>
      </c>
      <c r="D12" s="65">
        <v>100</v>
      </c>
      <c r="E12" s="66">
        <v>209040</v>
      </c>
      <c r="F12" s="66">
        <f>202397.82138+535.37797</f>
        <v>202933.19935000001</v>
      </c>
      <c r="G12" s="67">
        <v>252000</v>
      </c>
      <c r="H12" s="67">
        <v>256000</v>
      </c>
      <c r="I12" s="67">
        <f>264184.37091-674.96876</f>
        <v>263509.40214999998</v>
      </c>
      <c r="J12" s="67">
        <v>265678</v>
      </c>
      <c r="K12" s="67">
        <v>346066.7</v>
      </c>
      <c r="L12" s="67">
        <v>346066.7</v>
      </c>
      <c r="M12" s="67">
        <f>374956.05956-914.30826</f>
        <v>374041.7513</v>
      </c>
      <c r="N12" s="68">
        <v>361232</v>
      </c>
      <c r="O12" s="68">
        <f>418700-916</f>
        <v>417784</v>
      </c>
      <c r="P12" s="302">
        <f>455674+4000</f>
        <v>459674</v>
      </c>
      <c r="Q12" s="302">
        <f>P12-O12</f>
        <v>41890</v>
      </c>
      <c r="R12" s="68">
        <v>487663</v>
      </c>
      <c r="S12" s="68">
        <v>510583</v>
      </c>
    </row>
    <row r="13" spans="1:19">
      <c r="A13" s="62">
        <v>2</v>
      </c>
      <c r="B13" s="62">
        <v>11122100</v>
      </c>
      <c r="C13" s="70" t="s">
        <v>63</v>
      </c>
      <c r="D13" s="65">
        <v>100</v>
      </c>
      <c r="E13" s="66">
        <f>17500+500</f>
        <v>18000</v>
      </c>
      <c r="F13" s="66">
        <v>13998.745000000001</v>
      </c>
      <c r="G13" s="67">
        <f>17500</f>
        <v>17500</v>
      </c>
      <c r="H13" s="67">
        <v>17500</v>
      </c>
      <c r="I13" s="67">
        <v>18302.460999999999</v>
      </c>
      <c r="J13" s="67">
        <v>17500</v>
      </c>
      <c r="K13" s="67">
        <v>439.7</v>
      </c>
      <c r="L13" s="67">
        <v>1332.7</v>
      </c>
      <c r="M13" s="67">
        <v>464.07</v>
      </c>
      <c r="N13" s="68"/>
      <c r="O13" s="68"/>
      <c r="P13" s="302"/>
      <c r="Q13" s="302"/>
      <c r="R13" s="68"/>
      <c r="S13" s="68"/>
    </row>
    <row r="14" spans="1:19">
      <c r="A14" s="62">
        <v>3</v>
      </c>
      <c r="B14" s="62">
        <v>11122200</v>
      </c>
      <c r="C14" s="70" t="s">
        <v>64</v>
      </c>
      <c r="D14" s="65">
        <v>100</v>
      </c>
      <c r="E14" s="66">
        <f>53500+2000+1000</f>
        <v>56500</v>
      </c>
      <c r="F14" s="66">
        <v>43668.892500000002</v>
      </c>
      <c r="G14" s="67">
        <f>53500+2000+1000</f>
        <v>56500</v>
      </c>
      <c r="H14" s="67">
        <f>53500+2000+1000</f>
        <v>56500</v>
      </c>
      <c r="I14" s="67">
        <f>55714.77838+11.9</f>
        <v>55726.678380000005</v>
      </c>
      <c r="J14" s="67">
        <v>57500</v>
      </c>
      <c r="K14" s="67"/>
      <c r="L14" s="67">
        <v>27800</v>
      </c>
      <c r="M14" s="67">
        <v>21039.004209999999</v>
      </c>
      <c r="N14" s="68"/>
      <c r="O14" s="68"/>
      <c r="P14" s="302"/>
      <c r="Q14" s="302"/>
      <c r="R14" s="68"/>
      <c r="S14" s="68"/>
    </row>
    <row r="15" spans="1:19">
      <c r="A15" s="62">
        <v>4</v>
      </c>
      <c r="B15" s="62">
        <v>11122300</v>
      </c>
      <c r="C15" s="70" t="s">
        <v>99</v>
      </c>
      <c r="D15" s="65">
        <v>100</v>
      </c>
      <c r="E15" s="66"/>
      <c r="F15" s="66"/>
      <c r="G15" s="67"/>
      <c r="H15" s="67"/>
      <c r="I15" s="67"/>
      <c r="J15" s="67"/>
      <c r="K15" s="67">
        <v>58500</v>
      </c>
      <c r="L15" s="67">
        <v>29807</v>
      </c>
      <c r="M15" s="67">
        <v>41990.6561</v>
      </c>
      <c r="N15" s="68">
        <v>59220</v>
      </c>
      <c r="O15" s="68">
        <v>65690</v>
      </c>
      <c r="P15" s="302">
        <f>67000+1000</f>
        <v>68000</v>
      </c>
      <c r="Q15" s="302">
        <f t="shared" ref="Q15:Q39" si="0">P15-O15</f>
        <v>2310</v>
      </c>
      <c r="R15" s="68">
        <v>59220</v>
      </c>
      <c r="S15" s="68">
        <v>59220</v>
      </c>
    </row>
    <row r="16" spans="1:19">
      <c r="A16" s="62">
        <v>5</v>
      </c>
      <c r="B16" s="62">
        <v>11121100</v>
      </c>
      <c r="C16" s="70" t="s">
        <v>65</v>
      </c>
      <c r="D16" s="65"/>
      <c r="E16" s="66">
        <v>1060</v>
      </c>
      <c r="F16" s="66">
        <v>1169.0413699999999</v>
      </c>
      <c r="G16" s="67">
        <v>1060</v>
      </c>
      <c r="H16" s="67">
        <v>1060</v>
      </c>
      <c r="I16" s="67">
        <v>1281.5486599999999</v>
      </c>
      <c r="J16" s="67">
        <v>1462</v>
      </c>
      <c r="K16" s="67">
        <v>42200</v>
      </c>
      <c r="L16" s="67">
        <v>42200</v>
      </c>
      <c r="M16" s="67">
        <v>50448.03067</v>
      </c>
      <c r="N16" s="68"/>
      <c r="O16" s="68"/>
      <c r="P16" s="302"/>
      <c r="Q16" s="302"/>
      <c r="R16" s="56"/>
      <c r="S16" s="69"/>
    </row>
    <row r="17" spans="1:19" ht="12.75" customHeight="1">
      <c r="A17" s="62">
        <v>6</v>
      </c>
      <c r="B17" s="63">
        <v>11462</v>
      </c>
      <c r="C17" s="70" t="s">
        <v>6</v>
      </c>
      <c r="D17" s="65">
        <v>50</v>
      </c>
      <c r="E17" s="66">
        <v>1303</v>
      </c>
      <c r="F17" s="66">
        <f>4.25+15+1.5+32.8257+1008.0875</f>
        <v>1061.6632</v>
      </c>
      <c r="G17" s="67">
        <v>1200</v>
      </c>
      <c r="H17" s="67">
        <v>1200</v>
      </c>
      <c r="I17" s="67">
        <f>16.66682+1.1285+45.61949+1171.3675</f>
        <v>1234.7823100000001</v>
      </c>
      <c r="J17" s="67">
        <v>1307.9000000000001</v>
      </c>
      <c r="K17" s="67">
        <v>1307.9000000000001</v>
      </c>
      <c r="L17" s="67">
        <v>1307.9000000000001</v>
      </c>
      <c r="M17" s="67">
        <f>0.25+46.54534+1481.6075</f>
        <v>1528.40284</v>
      </c>
      <c r="N17" s="67">
        <v>1310</v>
      </c>
      <c r="O17" s="67">
        <v>1600</v>
      </c>
      <c r="P17" s="303">
        <v>1600</v>
      </c>
      <c r="Q17" s="302">
        <f t="shared" si="0"/>
        <v>0</v>
      </c>
      <c r="R17" s="67">
        <v>1310</v>
      </c>
      <c r="S17" s="69">
        <v>1310</v>
      </c>
    </row>
    <row r="18" spans="1:19" ht="13.5">
      <c r="A18" s="62"/>
      <c r="B18" s="71"/>
      <c r="C18" s="72" t="s">
        <v>7</v>
      </c>
      <c r="D18" s="72"/>
      <c r="E18" s="73">
        <f t="shared" ref="E18:S18" si="1">SUM(E12:E17)</f>
        <v>285903</v>
      </c>
      <c r="F18" s="73">
        <f t="shared" si="1"/>
        <v>262831.54142000002</v>
      </c>
      <c r="G18" s="74">
        <f t="shared" si="1"/>
        <v>328260</v>
      </c>
      <c r="H18" s="74">
        <f t="shared" si="1"/>
        <v>332260</v>
      </c>
      <c r="I18" s="74">
        <f t="shared" si="1"/>
        <v>340054.87249999994</v>
      </c>
      <c r="J18" s="74">
        <f t="shared" si="1"/>
        <v>343447.9</v>
      </c>
      <c r="K18" s="74">
        <f t="shared" si="1"/>
        <v>448514.30000000005</v>
      </c>
      <c r="L18" s="74">
        <f>SUM(L12:L17)</f>
        <v>448514.30000000005</v>
      </c>
      <c r="M18" s="74">
        <f t="shared" si="1"/>
        <v>489511.91512000002</v>
      </c>
      <c r="N18" s="75">
        <f>SUM(N12:N17)</f>
        <v>421762</v>
      </c>
      <c r="O18" s="75">
        <f>SUM(O12:O17)</f>
        <v>485074</v>
      </c>
      <c r="P18" s="304">
        <f>SUM(P12:P17)</f>
        <v>529274</v>
      </c>
      <c r="Q18" s="305">
        <f t="shared" si="0"/>
        <v>44200</v>
      </c>
      <c r="R18" s="75">
        <f t="shared" si="1"/>
        <v>548193</v>
      </c>
      <c r="S18" s="75">
        <f t="shared" si="1"/>
        <v>571113</v>
      </c>
    </row>
    <row r="19" spans="1:19">
      <c r="A19" s="62">
        <v>7</v>
      </c>
      <c r="B19" s="62">
        <v>11311100</v>
      </c>
      <c r="C19" s="70" t="s">
        <v>100</v>
      </c>
      <c r="D19" s="65">
        <v>100</v>
      </c>
      <c r="E19" s="66">
        <v>340</v>
      </c>
      <c r="F19" s="66">
        <v>647.85234000000003</v>
      </c>
      <c r="G19" s="67">
        <v>380</v>
      </c>
      <c r="H19" s="67">
        <v>650</v>
      </c>
      <c r="I19" s="67">
        <v>813.58950000000004</v>
      </c>
      <c r="J19" s="67">
        <v>650</v>
      </c>
      <c r="K19" s="67">
        <v>650</v>
      </c>
      <c r="L19" s="67">
        <v>650</v>
      </c>
      <c r="M19" s="67">
        <v>1277.27385</v>
      </c>
      <c r="N19" s="68">
        <v>670</v>
      </c>
      <c r="O19" s="68">
        <v>1300</v>
      </c>
      <c r="P19" s="302">
        <v>1300</v>
      </c>
      <c r="Q19" s="302">
        <f t="shared" si="0"/>
        <v>0</v>
      </c>
      <c r="R19" s="68">
        <v>700</v>
      </c>
      <c r="S19" s="68">
        <v>900</v>
      </c>
    </row>
    <row r="20" spans="1:19">
      <c r="A20" s="62">
        <v>8</v>
      </c>
      <c r="B20" s="62">
        <v>11311200</v>
      </c>
      <c r="C20" s="70" t="s">
        <v>101</v>
      </c>
      <c r="D20" s="65">
        <v>100</v>
      </c>
      <c r="E20" s="66">
        <v>21760</v>
      </c>
      <c r="F20" s="66">
        <v>23859.74639</v>
      </c>
      <c r="G20" s="67">
        <v>22500</v>
      </c>
      <c r="H20" s="67">
        <v>23300</v>
      </c>
      <c r="I20" s="67">
        <v>27151.50346</v>
      </c>
      <c r="J20" s="67">
        <v>24873.8</v>
      </c>
      <c r="K20" s="67">
        <v>25233.8</v>
      </c>
      <c r="L20" s="67">
        <v>24873.8</v>
      </c>
      <c r="M20" s="67">
        <v>29224.872820000001</v>
      </c>
      <c r="N20" s="68">
        <v>27360</v>
      </c>
      <c r="O20" s="68">
        <v>27360</v>
      </c>
      <c r="P20" s="302">
        <v>27360</v>
      </c>
      <c r="Q20" s="302">
        <f t="shared" si="0"/>
        <v>0</v>
      </c>
      <c r="R20" s="68">
        <v>27360</v>
      </c>
      <c r="S20" s="68">
        <v>27360</v>
      </c>
    </row>
    <row r="21" spans="1:19">
      <c r="A21" s="62">
        <v>9</v>
      </c>
      <c r="B21" s="62">
        <v>11311300</v>
      </c>
      <c r="C21" s="70" t="s">
        <v>66</v>
      </c>
      <c r="D21" s="65">
        <v>100</v>
      </c>
      <c r="E21" s="66">
        <v>300</v>
      </c>
      <c r="F21" s="66">
        <v>334.10081000000002</v>
      </c>
      <c r="G21" s="67">
        <v>360</v>
      </c>
      <c r="H21" s="67">
        <v>360</v>
      </c>
      <c r="I21" s="67">
        <v>362.74045000000001</v>
      </c>
      <c r="J21" s="67">
        <v>360</v>
      </c>
      <c r="K21" s="67"/>
      <c r="L21" s="67">
        <v>360</v>
      </c>
      <c r="M21" s="67">
        <v>422.09884</v>
      </c>
      <c r="N21" s="68"/>
      <c r="O21" s="68"/>
      <c r="P21" s="302"/>
      <c r="Q21" s="302"/>
      <c r="R21" s="68"/>
      <c r="S21" s="68"/>
    </row>
    <row r="22" spans="1:19">
      <c r="A22" s="62">
        <v>10</v>
      </c>
      <c r="B22" s="63">
        <v>11312</v>
      </c>
      <c r="C22" s="70" t="s">
        <v>67</v>
      </c>
      <c r="D22" s="65">
        <v>100</v>
      </c>
      <c r="E22" s="66">
        <v>10600</v>
      </c>
      <c r="F22" s="66">
        <f>1267.7299+7993.41742</f>
        <v>9261.14732</v>
      </c>
      <c r="G22" s="67">
        <f>10600-1000</f>
        <v>9600</v>
      </c>
      <c r="H22" s="67">
        <v>9600</v>
      </c>
      <c r="I22" s="67">
        <f>1615.67959+8006.26184</f>
        <v>9621.9414300000008</v>
      </c>
      <c r="J22" s="67">
        <v>9713.2999999999993</v>
      </c>
      <c r="K22" s="67">
        <v>9713.2999999999993</v>
      </c>
      <c r="L22" s="67">
        <v>9713.2999999999993</v>
      </c>
      <c r="M22" s="67">
        <f>1346.58456+10080.81688</f>
        <v>11427.40144</v>
      </c>
      <c r="N22" s="68">
        <f>1400+8420</f>
        <v>9820</v>
      </c>
      <c r="O22" s="68">
        <v>11000</v>
      </c>
      <c r="P22" s="302">
        <v>11000</v>
      </c>
      <c r="Q22" s="302">
        <f t="shared" si="0"/>
        <v>0</v>
      </c>
      <c r="R22" s="68">
        <v>9900</v>
      </c>
      <c r="S22" s="68">
        <v>10000</v>
      </c>
    </row>
    <row r="23" spans="1:19">
      <c r="A23" s="62">
        <v>11</v>
      </c>
      <c r="B23" s="62">
        <v>11321100</v>
      </c>
      <c r="C23" s="76" t="s">
        <v>102</v>
      </c>
      <c r="D23" s="65">
        <v>100</v>
      </c>
      <c r="E23" s="66">
        <v>3100</v>
      </c>
      <c r="F23" s="66">
        <v>4438.1163699999997</v>
      </c>
      <c r="G23" s="67">
        <f>3200+1000</f>
        <v>4200</v>
      </c>
      <c r="H23" s="67">
        <v>4400</v>
      </c>
      <c r="I23" s="67">
        <v>4993.6256700000004</v>
      </c>
      <c r="J23" s="67">
        <v>5100</v>
      </c>
      <c r="K23" s="67">
        <v>4400</v>
      </c>
      <c r="L23" s="67">
        <v>5100</v>
      </c>
      <c r="M23" s="67">
        <v>5686.0952500000003</v>
      </c>
      <c r="N23" s="68">
        <v>5600</v>
      </c>
      <c r="O23" s="68">
        <v>5600</v>
      </c>
      <c r="P23" s="302">
        <v>6400</v>
      </c>
      <c r="Q23" s="302">
        <f t="shared" si="0"/>
        <v>800</v>
      </c>
      <c r="R23" s="68">
        <v>5600</v>
      </c>
      <c r="S23" s="68">
        <v>5600</v>
      </c>
    </row>
    <row r="24" spans="1:19">
      <c r="A24" s="62">
        <v>12</v>
      </c>
      <c r="B24" s="62">
        <v>11321200</v>
      </c>
      <c r="C24" s="70" t="s">
        <v>103</v>
      </c>
      <c r="D24" s="65">
        <v>100</v>
      </c>
      <c r="E24" s="66">
        <v>452</v>
      </c>
      <c r="F24" s="66">
        <v>511.2715</v>
      </c>
      <c r="G24" s="67">
        <v>452</v>
      </c>
      <c r="H24" s="67">
        <v>452</v>
      </c>
      <c r="I24" s="67">
        <v>476.14850000000001</v>
      </c>
      <c r="J24" s="67">
        <v>452</v>
      </c>
      <c r="K24" s="67"/>
      <c r="L24" s="67">
        <v>45.2</v>
      </c>
      <c r="M24" s="67">
        <v>166.244</v>
      </c>
      <c r="N24" s="68"/>
      <c r="O24" s="68">
        <v>0</v>
      </c>
      <c r="P24" s="302"/>
      <c r="Q24" s="302"/>
      <c r="R24" s="68">
        <v>0</v>
      </c>
      <c r="S24" s="68">
        <v>452</v>
      </c>
    </row>
    <row r="25" spans="1:19" ht="25.5">
      <c r="A25" s="62">
        <v>13</v>
      </c>
      <c r="B25" s="62">
        <v>11321300</v>
      </c>
      <c r="C25" s="76" t="s">
        <v>104</v>
      </c>
      <c r="D25" s="65">
        <v>100</v>
      </c>
      <c r="E25" s="66">
        <f>16540</f>
        <v>16540</v>
      </c>
      <c r="F25" s="66">
        <v>16705.27622</v>
      </c>
      <c r="G25" s="67">
        <v>16800</v>
      </c>
      <c r="H25" s="67">
        <v>16800</v>
      </c>
      <c r="I25" s="67">
        <v>16743.137019999998</v>
      </c>
      <c r="J25" s="67">
        <v>16301.1</v>
      </c>
      <c r="K25" s="67">
        <v>16301.1</v>
      </c>
      <c r="L25" s="67">
        <v>16501.099999999999</v>
      </c>
      <c r="M25" s="67">
        <v>18442.02793</v>
      </c>
      <c r="N25" s="68">
        <v>17585.8</v>
      </c>
      <c r="O25" s="68">
        <v>17800</v>
      </c>
      <c r="P25" s="302">
        <v>17800</v>
      </c>
      <c r="Q25" s="302">
        <f t="shared" si="0"/>
        <v>0</v>
      </c>
      <c r="R25" s="68">
        <v>17000</v>
      </c>
      <c r="S25" s="68">
        <v>17000</v>
      </c>
    </row>
    <row r="26" spans="1:19">
      <c r="A26" s="62">
        <v>14</v>
      </c>
      <c r="B26" s="62">
        <v>14224200</v>
      </c>
      <c r="C26" s="76" t="s">
        <v>68</v>
      </c>
      <c r="D26" s="65">
        <v>100</v>
      </c>
      <c r="E26" s="66">
        <v>920</v>
      </c>
      <c r="F26" s="66">
        <v>926.71461999999997</v>
      </c>
      <c r="G26" s="67">
        <v>920</v>
      </c>
      <c r="H26" s="67">
        <v>980</v>
      </c>
      <c r="I26" s="67">
        <v>989.61292000000003</v>
      </c>
      <c r="J26" s="67">
        <v>980</v>
      </c>
      <c r="K26" s="67">
        <v>980</v>
      </c>
      <c r="L26" s="67">
        <v>980</v>
      </c>
      <c r="M26" s="67">
        <v>1066.7782999999999</v>
      </c>
      <c r="N26" s="69">
        <v>1000</v>
      </c>
      <c r="O26" s="68">
        <v>1000</v>
      </c>
      <c r="P26" s="302">
        <v>1000</v>
      </c>
      <c r="Q26" s="302">
        <f t="shared" si="0"/>
        <v>0</v>
      </c>
      <c r="R26" s="68">
        <v>1000</v>
      </c>
      <c r="S26" s="68">
        <v>1000</v>
      </c>
    </row>
    <row r="27" spans="1:19" ht="38.25">
      <c r="A27" s="62">
        <v>15</v>
      </c>
      <c r="B27" s="70">
        <v>14224410</v>
      </c>
      <c r="C27" s="76" t="s">
        <v>72</v>
      </c>
      <c r="D27" s="76">
        <v>100</v>
      </c>
      <c r="E27" s="66"/>
      <c r="F27" s="66">
        <v>760.5</v>
      </c>
      <c r="G27" s="67"/>
      <c r="H27" s="67">
        <v>1120</v>
      </c>
      <c r="I27" s="67">
        <v>1590</v>
      </c>
      <c r="J27" s="67"/>
      <c r="K27" s="67">
        <v>231</v>
      </c>
      <c r="L27" s="67">
        <v>231</v>
      </c>
      <c r="M27" s="67">
        <v>1041</v>
      </c>
      <c r="N27" s="68"/>
      <c r="O27" s="68"/>
      <c r="P27" s="302"/>
      <c r="Q27" s="302"/>
      <c r="R27" s="77"/>
      <c r="S27" s="77"/>
    </row>
    <row r="28" spans="1:19" ht="13.5" customHeight="1">
      <c r="A28" s="62">
        <v>16</v>
      </c>
      <c r="B28" s="70">
        <v>11611200</v>
      </c>
      <c r="C28" s="76" t="s">
        <v>105</v>
      </c>
      <c r="D28" s="76"/>
      <c r="E28" s="66"/>
      <c r="F28" s="66"/>
      <c r="G28" s="67"/>
      <c r="H28" s="67"/>
      <c r="I28" s="67"/>
      <c r="J28" s="67"/>
      <c r="K28" s="67"/>
      <c r="L28" s="67"/>
      <c r="M28" s="67">
        <v>1.837</v>
      </c>
      <c r="N28" s="68"/>
      <c r="O28" s="68"/>
      <c r="P28" s="302"/>
      <c r="Q28" s="302"/>
      <c r="R28" s="77"/>
      <c r="S28" s="77"/>
    </row>
    <row r="29" spans="1:19" ht="13.5" customHeight="1">
      <c r="A29" s="62"/>
      <c r="B29" s="71"/>
      <c r="C29" s="72" t="s">
        <v>8</v>
      </c>
      <c r="D29" s="72"/>
      <c r="E29" s="73">
        <f t="shared" ref="E29:S29" si="2">SUM(E19:E27)</f>
        <v>54012</v>
      </c>
      <c r="F29" s="73">
        <f t="shared" si="2"/>
        <v>57444.72557000001</v>
      </c>
      <c r="G29" s="73">
        <f t="shared" si="2"/>
        <v>55212</v>
      </c>
      <c r="H29" s="73">
        <f t="shared" si="2"/>
        <v>57662</v>
      </c>
      <c r="I29" s="73">
        <f t="shared" si="2"/>
        <v>62742.298950000011</v>
      </c>
      <c r="J29" s="73">
        <f t="shared" si="2"/>
        <v>58430.2</v>
      </c>
      <c r="K29" s="73">
        <f t="shared" si="2"/>
        <v>57509.2</v>
      </c>
      <c r="L29" s="73">
        <f>SUM(L19:L27)</f>
        <v>58454.399999999994</v>
      </c>
      <c r="M29" s="73">
        <f>SUM(M19:M28)</f>
        <v>68755.629430000001</v>
      </c>
      <c r="N29" s="73">
        <f>SUM(N19:N27)</f>
        <v>62035.8</v>
      </c>
      <c r="O29" s="73">
        <f>SUM(O19:O27)</f>
        <v>64060</v>
      </c>
      <c r="P29" s="306">
        <f>SUM(P19:P27)</f>
        <v>64860</v>
      </c>
      <c r="Q29" s="305">
        <f t="shared" si="0"/>
        <v>800</v>
      </c>
      <c r="R29" s="73">
        <f t="shared" si="2"/>
        <v>61560</v>
      </c>
      <c r="S29" s="73">
        <f t="shared" si="2"/>
        <v>62312</v>
      </c>
    </row>
    <row r="30" spans="1:19" ht="13.5">
      <c r="A30" s="62"/>
      <c r="B30" s="62"/>
      <c r="C30" s="78" t="s">
        <v>9</v>
      </c>
      <c r="D30" s="78"/>
      <c r="E30" s="73">
        <f t="shared" ref="E30:S30" si="3">E29+E18</f>
        <v>339915</v>
      </c>
      <c r="F30" s="73">
        <f t="shared" si="3"/>
        <v>320276.26699000003</v>
      </c>
      <c r="G30" s="74">
        <f t="shared" si="3"/>
        <v>383472</v>
      </c>
      <c r="H30" s="74">
        <f t="shared" si="3"/>
        <v>389922</v>
      </c>
      <c r="I30" s="74">
        <f t="shared" si="3"/>
        <v>402797.17144999997</v>
      </c>
      <c r="J30" s="74">
        <f t="shared" si="3"/>
        <v>401878.10000000003</v>
      </c>
      <c r="K30" s="74">
        <f t="shared" si="3"/>
        <v>506023.50000000006</v>
      </c>
      <c r="L30" s="74">
        <f>L29+L18</f>
        <v>506968.70000000007</v>
      </c>
      <c r="M30" s="74">
        <f t="shared" si="3"/>
        <v>558267.54454999999</v>
      </c>
      <c r="N30" s="75">
        <f>N29+N18</f>
        <v>483797.8</v>
      </c>
      <c r="O30" s="75">
        <f>O29+O18</f>
        <v>549134</v>
      </c>
      <c r="P30" s="304">
        <f>P29+P18</f>
        <v>594134</v>
      </c>
      <c r="Q30" s="305">
        <f t="shared" si="0"/>
        <v>45000</v>
      </c>
      <c r="R30" s="75">
        <f t="shared" si="3"/>
        <v>609753</v>
      </c>
      <c r="S30" s="75">
        <f t="shared" si="3"/>
        <v>633425</v>
      </c>
    </row>
    <row r="31" spans="1:19">
      <c r="A31" s="62">
        <v>17</v>
      </c>
      <c r="B31" s="62">
        <v>14152100</v>
      </c>
      <c r="C31" s="70" t="s">
        <v>69</v>
      </c>
      <c r="D31" s="65">
        <v>100</v>
      </c>
      <c r="E31" s="66">
        <f>SUM(E32:E34)</f>
        <v>26500</v>
      </c>
      <c r="F31" s="67">
        <f t="shared" ref="F31:K31" si="4">SUM(F32:F34)</f>
        <v>19994.953850000002</v>
      </c>
      <c r="G31" s="67">
        <f t="shared" si="4"/>
        <v>27829.3</v>
      </c>
      <c r="H31" s="67">
        <f t="shared" si="4"/>
        <v>28454</v>
      </c>
      <c r="I31" s="67">
        <f t="shared" si="4"/>
        <v>31184.7</v>
      </c>
      <c r="J31" s="67">
        <f t="shared" si="4"/>
        <v>31530.5</v>
      </c>
      <c r="K31" s="67">
        <f t="shared" si="4"/>
        <v>33630.5</v>
      </c>
      <c r="L31" s="67">
        <f>SUM(L32:L34)</f>
        <v>33630.5</v>
      </c>
      <c r="M31" s="67">
        <f>SUM(M32:M34)</f>
        <v>33097.4</v>
      </c>
      <c r="N31" s="68">
        <v>54025.2</v>
      </c>
      <c r="O31" s="68">
        <f>SUM(O32:O35)</f>
        <v>53641</v>
      </c>
      <c r="P31" s="302">
        <f>SUM(P32:P35)</f>
        <v>53641</v>
      </c>
      <c r="Q31" s="302">
        <f t="shared" si="0"/>
        <v>0</v>
      </c>
      <c r="R31" s="68">
        <f>SUM(R32:R35)</f>
        <v>54682.603999999999</v>
      </c>
      <c r="S31" s="68">
        <f>SUM(S32:S35)</f>
        <v>55682.603999999999</v>
      </c>
    </row>
    <row r="32" spans="1:19">
      <c r="A32" s="62"/>
      <c r="B32" s="62"/>
      <c r="C32" s="79" t="s">
        <v>82</v>
      </c>
      <c r="D32" s="65">
        <v>100</v>
      </c>
      <c r="E32" s="80">
        <f>8500+600+100+55.6</f>
        <v>9255.6</v>
      </c>
      <c r="F32" s="66">
        <f>19994.95385-F33-F34</f>
        <v>6612.9538500000017</v>
      </c>
      <c r="G32" s="81">
        <f>9500+500+612.4</f>
        <v>10612.4</v>
      </c>
      <c r="H32" s="81">
        <v>12012.4</v>
      </c>
      <c r="I32" s="81">
        <f>14261.3-5</f>
        <v>14256.3</v>
      </c>
      <c r="J32" s="81">
        <v>14000</v>
      </c>
      <c r="K32" s="81">
        <v>15100</v>
      </c>
      <c r="L32" s="81">
        <v>15100</v>
      </c>
      <c r="M32" s="81">
        <v>16087.6</v>
      </c>
      <c r="N32" s="82"/>
      <c r="O32" s="82">
        <v>18500</v>
      </c>
      <c r="P32" s="307">
        <v>18500</v>
      </c>
      <c r="Q32" s="302">
        <f t="shared" si="0"/>
        <v>0</v>
      </c>
      <c r="R32" s="82">
        <v>17000</v>
      </c>
      <c r="S32" s="82">
        <v>18000</v>
      </c>
    </row>
    <row r="33" spans="1:19">
      <c r="A33" s="62"/>
      <c r="B33" s="62"/>
      <c r="C33" s="79" t="s">
        <v>83</v>
      </c>
      <c r="D33" s="65">
        <v>100</v>
      </c>
      <c r="E33" s="80">
        <f>7795.9+1336.1+1435.4</f>
        <v>10567.4</v>
      </c>
      <c r="F33" s="80">
        <v>8486</v>
      </c>
      <c r="G33" s="81">
        <f>7795.9+1336.1+1435.4+200</f>
        <v>10767.4</v>
      </c>
      <c r="H33" s="81">
        <v>10550.5</v>
      </c>
      <c r="I33" s="81">
        <f>10714.6+5</f>
        <v>10719.6</v>
      </c>
      <c r="J33" s="81">
        <v>10550.5</v>
      </c>
      <c r="K33" s="81">
        <v>10550.5</v>
      </c>
      <c r="L33" s="81">
        <v>10550.5</v>
      </c>
      <c r="M33" s="83">
        <v>10445</v>
      </c>
      <c r="N33" s="82"/>
      <c r="O33" s="82">
        <v>6527.5</v>
      </c>
      <c r="P33" s="307">
        <v>6527.5</v>
      </c>
      <c r="Q33" s="302">
        <f t="shared" si="0"/>
        <v>0</v>
      </c>
      <c r="R33" s="82">
        <f>1435.356+5494.548</f>
        <v>6929.9039999999995</v>
      </c>
      <c r="S33" s="82">
        <f>1435.356+5494.548</f>
        <v>6929.9039999999995</v>
      </c>
    </row>
    <row r="34" spans="1:19">
      <c r="A34" s="62"/>
      <c r="B34" s="62"/>
      <c r="C34" s="79" t="s">
        <v>10</v>
      </c>
      <c r="D34" s="65">
        <v>100</v>
      </c>
      <c r="E34" s="80">
        <v>6677</v>
      </c>
      <c r="F34" s="80">
        <v>4896</v>
      </c>
      <c r="G34" s="81">
        <f>6677+323-626.7+76.2</f>
        <v>6449.5</v>
      </c>
      <c r="H34" s="81">
        <v>5891.1</v>
      </c>
      <c r="I34" s="81">
        <v>6208.8</v>
      </c>
      <c r="J34" s="81">
        <v>6980</v>
      </c>
      <c r="K34" s="81">
        <v>7980</v>
      </c>
      <c r="L34" s="81">
        <v>7980</v>
      </c>
      <c r="M34" s="83">
        <v>6564.8</v>
      </c>
      <c r="N34" s="82"/>
      <c r="O34" s="82">
        <v>6892.9</v>
      </c>
      <c r="P34" s="307">
        <v>6892.9</v>
      </c>
      <c r="Q34" s="302">
        <f t="shared" si="0"/>
        <v>0</v>
      </c>
      <c r="R34" s="82">
        <f>7057.5</f>
        <v>7057.5</v>
      </c>
      <c r="S34" s="82">
        <f>7057.5</f>
        <v>7057.5</v>
      </c>
    </row>
    <row r="35" spans="1:19">
      <c r="A35" s="62"/>
      <c r="B35" s="62"/>
      <c r="C35" s="79" t="s">
        <v>106</v>
      </c>
      <c r="D35" s="65"/>
      <c r="E35" s="80"/>
      <c r="F35" s="80"/>
      <c r="G35" s="81"/>
      <c r="H35" s="81"/>
      <c r="I35" s="81"/>
      <c r="J35" s="81"/>
      <c r="K35" s="81"/>
      <c r="L35" s="81"/>
      <c r="M35" s="81"/>
      <c r="N35" s="82"/>
      <c r="O35" s="82">
        <v>21720.6</v>
      </c>
      <c r="P35" s="307">
        <v>21720.6</v>
      </c>
      <c r="Q35" s="302">
        <f t="shared" si="0"/>
        <v>0</v>
      </c>
      <c r="R35" s="82">
        <v>23695.200000000001</v>
      </c>
      <c r="S35" s="82">
        <v>23695.200000000001</v>
      </c>
    </row>
    <row r="36" spans="1:19">
      <c r="A36" s="62">
        <v>18</v>
      </c>
      <c r="B36" s="84">
        <v>14152200</v>
      </c>
      <c r="C36" s="85" t="s">
        <v>107</v>
      </c>
      <c r="D36" s="65"/>
      <c r="E36" s="66"/>
      <c r="F36" s="66"/>
      <c r="G36" s="86"/>
      <c r="H36" s="86">
        <v>60</v>
      </c>
      <c r="I36" s="86">
        <v>49.15</v>
      </c>
      <c r="J36" s="86">
        <v>60</v>
      </c>
      <c r="K36" s="86">
        <v>60</v>
      </c>
      <c r="L36" s="86">
        <v>60</v>
      </c>
      <c r="M36" s="86">
        <v>34.96</v>
      </c>
      <c r="N36" s="87">
        <v>60</v>
      </c>
      <c r="O36" s="87">
        <v>60</v>
      </c>
      <c r="P36" s="308">
        <v>60</v>
      </c>
      <c r="Q36" s="302">
        <f t="shared" si="0"/>
        <v>0</v>
      </c>
      <c r="R36" s="87">
        <v>60</v>
      </c>
      <c r="S36" s="87">
        <v>60</v>
      </c>
    </row>
    <row r="37" spans="1:19" ht="25.5">
      <c r="A37" s="62">
        <v>19</v>
      </c>
      <c r="B37" s="62">
        <v>14152600</v>
      </c>
      <c r="C37" s="76" t="s">
        <v>84</v>
      </c>
      <c r="D37" s="65">
        <v>100</v>
      </c>
      <c r="E37" s="66">
        <f>600+109</f>
        <v>709</v>
      </c>
      <c r="F37" s="66">
        <v>706.49300000000005</v>
      </c>
      <c r="G37" s="67">
        <v>790</v>
      </c>
      <c r="H37" s="67">
        <v>790</v>
      </c>
      <c r="I37" s="67">
        <v>799.61800000000005</v>
      </c>
      <c r="J37" s="67">
        <v>800</v>
      </c>
      <c r="K37" s="67">
        <v>800</v>
      </c>
      <c r="L37" s="67">
        <v>800</v>
      </c>
      <c r="M37" s="67">
        <v>799.23699999999997</v>
      </c>
      <c r="N37" s="68">
        <v>800</v>
      </c>
      <c r="O37" s="68">
        <v>800</v>
      </c>
      <c r="P37" s="302">
        <v>800</v>
      </c>
      <c r="Q37" s="302">
        <f t="shared" si="0"/>
        <v>0</v>
      </c>
      <c r="R37" s="68">
        <v>800</v>
      </c>
      <c r="S37" s="68">
        <v>800</v>
      </c>
    </row>
    <row r="38" spans="1:19" ht="25.5">
      <c r="A38" s="62">
        <v>20</v>
      </c>
      <c r="B38" s="62">
        <v>14211200</v>
      </c>
      <c r="C38" s="76" t="s">
        <v>70</v>
      </c>
      <c r="D38" s="65">
        <v>100</v>
      </c>
      <c r="E38" s="66">
        <f>3400-500+50</f>
        <v>2950</v>
      </c>
      <c r="F38" s="66">
        <v>2399.576</v>
      </c>
      <c r="G38" s="67">
        <v>5068.2</v>
      </c>
      <c r="H38" s="67">
        <v>5068.2</v>
      </c>
      <c r="I38" s="67">
        <v>5551.9549999999999</v>
      </c>
      <c r="J38" s="67">
        <v>5900</v>
      </c>
      <c r="K38" s="67">
        <v>6100</v>
      </c>
      <c r="L38" s="67">
        <v>6100</v>
      </c>
      <c r="M38" s="67">
        <v>7111.8119999999999</v>
      </c>
      <c r="N38" s="68">
        <v>6000</v>
      </c>
      <c r="O38" s="68">
        <v>7200</v>
      </c>
      <c r="P38" s="302">
        <v>7200</v>
      </c>
      <c r="Q38" s="302">
        <f t="shared" si="0"/>
        <v>0</v>
      </c>
      <c r="R38" s="68">
        <v>6000</v>
      </c>
      <c r="S38" s="68">
        <v>6100</v>
      </c>
    </row>
    <row r="39" spans="1:19" ht="12.75" customHeight="1">
      <c r="A39" s="62">
        <v>21</v>
      </c>
      <c r="B39" s="62">
        <v>14224300</v>
      </c>
      <c r="C39" s="70" t="s">
        <v>71</v>
      </c>
      <c r="D39" s="65">
        <v>100</v>
      </c>
      <c r="E39" s="66">
        <f>3070-270</f>
        <v>2800</v>
      </c>
      <c r="F39" s="66">
        <v>2297.0749999999998</v>
      </c>
      <c r="G39" s="67">
        <v>3300</v>
      </c>
      <c r="H39" s="67">
        <v>9500</v>
      </c>
      <c r="I39" s="67">
        <v>9519.1230500000001</v>
      </c>
      <c r="J39" s="67">
        <v>12470</v>
      </c>
      <c r="K39" s="67">
        <v>12970</v>
      </c>
      <c r="L39" s="67">
        <v>12970</v>
      </c>
      <c r="M39" s="67">
        <v>13458.52959</v>
      </c>
      <c r="N39" s="68">
        <v>13479</v>
      </c>
      <c r="O39" s="68">
        <v>12000</v>
      </c>
      <c r="P39" s="302">
        <v>12000</v>
      </c>
      <c r="Q39" s="302">
        <f t="shared" si="0"/>
        <v>0</v>
      </c>
      <c r="R39" s="68">
        <v>13479</v>
      </c>
      <c r="S39" s="68">
        <v>13479</v>
      </c>
    </row>
    <row r="40" spans="1:19" ht="24">
      <c r="A40" s="62">
        <v>22</v>
      </c>
      <c r="B40" s="70">
        <v>14221900</v>
      </c>
      <c r="C40" s="76" t="s">
        <v>108</v>
      </c>
      <c r="D40" s="65">
        <v>100</v>
      </c>
      <c r="E40" s="66">
        <f>2000+50+50</f>
        <v>2100</v>
      </c>
      <c r="F40" s="66">
        <v>1851.5450000000001</v>
      </c>
      <c r="G40" s="67">
        <v>2200</v>
      </c>
      <c r="H40" s="67">
        <v>2200</v>
      </c>
      <c r="I40" s="67">
        <v>2201.6309999999999</v>
      </c>
      <c r="J40" s="67">
        <v>2200</v>
      </c>
      <c r="K40" s="67">
        <v>2200</v>
      </c>
      <c r="L40" s="67">
        <v>2200</v>
      </c>
      <c r="M40" s="67">
        <v>2231.1210000000001</v>
      </c>
      <c r="N40" s="68">
        <v>2200</v>
      </c>
      <c r="O40" s="68"/>
      <c r="P40" s="302"/>
      <c r="Q40" s="302"/>
      <c r="R40" s="68">
        <v>2200</v>
      </c>
      <c r="S40" s="68">
        <v>2200</v>
      </c>
    </row>
    <row r="41" spans="1:19" hidden="1">
      <c r="A41" s="62">
        <v>23</v>
      </c>
      <c r="B41" s="70">
        <v>14151200</v>
      </c>
      <c r="C41" s="85" t="s">
        <v>85</v>
      </c>
      <c r="D41" s="65"/>
      <c r="E41" s="66"/>
      <c r="F41" s="66"/>
      <c r="G41" s="67"/>
      <c r="H41" s="67"/>
      <c r="I41" s="67"/>
      <c r="J41" s="67"/>
      <c r="K41" s="67"/>
      <c r="L41" s="67"/>
      <c r="M41" s="67"/>
      <c r="N41" s="68"/>
      <c r="O41" s="68"/>
      <c r="P41" s="302"/>
      <c r="Q41" s="302"/>
      <c r="R41" s="68"/>
      <c r="S41" s="68"/>
    </row>
    <row r="42" spans="1:19">
      <c r="A42" s="62">
        <v>24</v>
      </c>
      <c r="B42" s="84">
        <v>14311400</v>
      </c>
      <c r="C42" s="85" t="s">
        <v>73</v>
      </c>
      <c r="D42" s="76"/>
      <c r="E42" s="66"/>
      <c r="F42" s="66">
        <v>19.2</v>
      </c>
      <c r="G42" s="67"/>
      <c r="H42" s="67"/>
      <c r="I42" s="67">
        <v>67.408799999999999</v>
      </c>
      <c r="J42" s="67"/>
      <c r="K42" s="67"/>
      <c r="L42" s="67"/>
      <c r="M42" s="67">
        <v>2.0972499999999998</v>
      </c>
      <c r="N42" s="68"/>
      <c r="O42" s="68"/>
      <c r="P42" s="302"/>
      <c r="Q42" s="302"/>
      <c r="R42" s="77"/>
      <c r="S42" s="77"/>
    </row>
    <row r="43" spans="1:19">
      <c r="A43" s="62">
        <v>25</v>
      </c>
      <c r="B43" s="84">
        <v>14311500</v>
      </c>
      <c r="C43" s="85" t="s">
        <v>74</v>
      </c>
      <c r="D43" s="76"/>
      <c r="E43" s="66"/>
      <c r="F43" s="66">
        <v>105.854</v>
      </c>
      <c r="G43" s="67"/>
      <c r="H43" s="67"/>
      <c r="I43" s="67">
        <v>4710.6909999999998</v>
      </c>
      <c r="J43" s="67"/>
      <c r="K43" s="67"/>
      <c r="L43" s="67"/>
      <c r="M43" s="67"/>
      <c r="N43" s="68"/>
      <c r="O43" s="68"/>
      <c r="P43" s="302"/>
      <c r="Q43" s="302"/>
      <c r="R43" s="77"/>
      <c r="S43" s="77"/>
    </row>
    <row r="44" spans="1:19">
      <c r="A44" s="62">
        <v>26</v>
      </c>
      <c r="B44" s="84">
        <v>14511100</v>
      </c>
      <c r="C44" s="85" t="s">
        <v>60</v>
      </c>
      <c r="D44" s="76"/>
      <c r="E44" s="66"/>
      <c r="F44" s="66">
        <v>220.60210000000001</v>
      </c>
      <c r="G44" s="67"/>
      <c r="H44" s="67">
        <v>3120.7</v>
      </c>
      <c r="I44" s="67">
        <v>3450.1961299999998</v>
      </c>
      <c r="J44" s="67"/>
      <c r="K44" s="67"/>
      <c r="L44" s="67"/>
      <c r="M44" s="67">
        <v>921.34299999999996</v>
      </c>
      <c r="N44" s="68"/>
      <c r="O44" s="68"/>
      <c r="P44" s="302"/>
      <c r="Q44" s="302"/>
      <c r="R44" s="77"/>
      <c r="S44" s="77"/>
    </row>
    <row r="45" spans="1:19">
      <c r="A45" s="62">
        <v>27</v>
      </c>
      <c r="B45" s="363">
        <v>14151200</v>
      </c>
      <c r="C45" s="85" t="s">
        <v>85</v>
      </c>
      <c r="D45" s="76"/>
      <c r="E45" s="66"/>
      <c r="F45" s="66">
        <v>7.085</v>
      </c>
      <c r="G45" s="67"/>
      <c r="H45" s="67"/>
      <c r="I45" s="67">
        <v>2.4089999999999998</v>
      </c>
      <c r="J45" s="67"/>
      <c r="K45" s="67"/>
      <c r="L45" s="67"/>
      <c r="M45" s="67"/>
      <c r="N45" s="68"/>
      <c r="O45" s="68"/>
      <c r="P45" s="302"/>
      <c r="Q45" s="302"/>
      <c r="R45" s="77"/>
      <c r="S45" s="77"/>
    </row>
    <row r="46" spans="1:19">
      <c r="A46" s="62">
        <v>28</v>
      </c>
      <c r="B46" s="364">
        <v>14311100</v>
      </c>
      <c r="C46" s="88" t="s">
        <v>109</v>
      </c>
      <c r="D46" s="76"/>
      <c r="E46" s="66"/>
      <c r="F46" s="66">
        <v>114.14100000000001</v>
      </c>
      <c r="G46" s="67"/>
      <c r="H46" s="67"/>
      <c r="I46" s="67"/>
      <c r="J46" s="67"/>
      <c r="K46" s="67"/>
      <c r="L46" s="67"/>
      <c r="M46" s="67">
        <v>27.5</v>
      </c>
      <c r="N46" s="68"/>
      <c r="O46" s="68"/>
      <c r="P46" s="302"/>
      <c r="Q46" s="302"/>
      <c r="R46" s="77"/>
      <c r="S46" s="77"/>
    </row>
    <row r="47" spans="1:19" ht="13.15" hidden="1" customHeight="1">
      <c r="A47" s="62">
        <v>29</v>
      </c>
      <c r="B47" s="89">
        <v>31121100</v>
      </c>
      <c r="C47" s="90" t="s">
        <v>75</v>
      </c>
      <c r="D47" s="76"/>
      <c r="E47" s="66"/>
      <c r="F47" s="66">
        <v>13.52</v>
      </c>
      <c r="G47" s="67"/>
      <c r="H47" s="67"/>
      <c r="I47" s="67">
        <v>130</v>
      </c>
      <c r="J47" s="67"/>
      <c r="K47" s="67"/>
      <c r="L47" s="67"/>
      <c r="M47" s="67"/>
      <c r="N47" s="68"/>
      <c r="O47" s="68"/>
      <c r="P47" s="302"/>
      <c r="Q47" s="302"/>
      <c r="R47" s="77"/>
      <c r="S47" s="77"/>
    </row>
    <row r="48" spans="1:19">
      <c r="A48" s="62">
        <v>30</v>
      </c>
      <c r="B48" s="89">
        <v>31112120</v>
      </c>
      <c r="C48" s="90" t="s">
        <v>86</v>
      </c>
      <c r="D48" s="91"/>
      <c r="E48" s="66"/>
      <c r="F48" s="66">
        <v>110.694</v>
      </c>
      <c r="G48" s="67"/>
      <c r="H48" s="67"/>
      <c r="I48" s="67">
        <v>118.286</v>
      </c>
      <c r="J48" s="67"/>
      <c r="K48" s="67">
        <v>1333</v>
      </c>
      <c r="L48" s="67">
        <v>1333</v>
      </c>
      <c r="M48" s="67">
        <v>1834.213</v>
      </c>
      <c r="N48" s="68"/>
      <c r="O48" s="68"/>
      <c r="P48" s="302"/>
      <c r="Q48" s="302"/>
      <c r="R48" s="77"/>
      <c r="S48" s="77"/>
    </row>
    <row r="49" spans="1:20">
      <c r="A49" s="62">
        <v>31</v>
      </c>
      <c r="B49" s="62">
        <v>31112190</v>
      </c>
      <c r="C49" s="90" t="s">
        <v>87</v>
      </c>
      <c r="D49" s="91"/>
      <c r="E49" s="66"/>
      <c r="F49" s="66"/>
      <c r="G49" s="67"/>
      <c r="H49" s="67"/>
      <c r="I49" s="67">
        <v>535.86699999999996</v>
      </c>
      <c r="J49" s="67"/>
      <c r="K49" s="67">
        <v>1200</v>
      </c>
      <c r="L49" s="67">
        <v>1200</v>
      </c>
      <c r="M49" s="67"/>
      <c r="N49" s="68"/>
      <c r="O49" s="68"/>
      <c r="P49" s="302"/>
      <c r="Q49" s="302"/>
      <c r="R49" s="77"/>
      <c r="S49" s="77"/>
    </row>
    <row r="50" spans="1:20">
      <c r="A50" s="62">
        <v>32</v>
      </c>
      <c r="B50" s="84">
        <v>31121130</v>
      </c>
      <c r="C50" s="88" t="s">
        <v>76</v>
      </c>
      <c r="D50" s="76"/>
      <c r="E50" s="66"/>
      <c r="F50" s="66">
        <v>157.923</v>
      </c>
      <c r="G50" s="67"/>
      <c r="H50" s="67"/>
      <c r="I50" s="67">
        <v>148.15199999999999</v>
      </c>
      <c r="J50" s="67"/>
      <c r="K50" s="67"/>
      <c r="L50" s="67"/>
      <c r="M50" s="67">
        <v>40</v>
      </c>
      <c r="N50" s="68"/>
      <c r="O50" s="68"/>
      <c r="P50" s="302"/>
      <c r="Q50" s="302"/>
      <c r="R50" s="77"/>
      <c r="S50" s="77"/>
    </row>
    <row r="51" spans="1:20" hidden="1">
      <c r="A51" s="62">
        <v>33</v>
      </c>
      <c r="B51" s="84">
        <v>31121190</v>
      </c>
      <c r="C51" s="85" t="s">
        <v>77</v>
      </c>
      <c r="D51" s="76"/>
      <c r="E51" s="66"/>
      <c r="F51" s="66"/>
      <c r="G51" s="67"/>
      <c r="H51" s="67"/>
      <c r="I51" s="67"/>
      <c r="J51" s="67"/>
      <c r="K51" s="67"/>
      <c r="L51" s="67"/>
      <c r="M51" s="67"/>
      <c r="N51" s="68"/>
      <c r="O51" s="68"/>
      <c r="P51" s="302"/>
      <c r="Q51" s="302"/>
      <c r="R51" s="77"/>
      <c r="S51" s="77"/>
    </row>
    <row r="52" spans="1:20" ht="25.5">
      <c r="A52" s="62"/>
      <c r="B52" s="62"/>
      <c r="C52" s="92" t="s">
        <v>11</v>
      </c>
      <c r="D52" s="92"/>
      <c r="E52" s="93">
        <f>SUM(E32:E40)</f>
        <v>35059</v>
      </c>
      <c r="F52" s="93">
        <f>SUM(F32:F51)</f>
        <v>27998.661950000002</v>
      </c>
      <c r="G52" s="93">
        <f t="shared" ref="G52:S52" si="5">SUM(G32:G51)</f>
        <v>39187.5</v>
      </c>
      <c r="H52" s="93">
        <f t="shared" si="5"/>
        <v>49192.899999999994</v>
      </c>
      <c r="I52" s="93">
        <f t="shared" si="5"/>
        <v>58469.186979999999</v>
      </c>
      <c r="J52" s="93">
        <f>SUM(J32:J51)</f>
        <v>52960.5</v>
      </c>
      <c r="K52" s="93">
        <f>SUM(K32:K51)</f>
        <v>58293.5</v>
      </c>
      <c r="L52" s="93">
        <f>SUM(L32:L51)</f>
        <v>58293.5</v>
      </c>
      <c r="M52" s="93">
        <f>SUM(M31:M51)-M31</f>
        <v>59558.212840000015</v>
      </c>
      <c r="N52" s="93">
        <f>SUM(N31:N51)</f>
        <v>76564.2</v>
      </c>
      <c r="O52" s="93">
        <f>SUM(O32:O51)</f>
        <v>73701</v>
      </c>
      <c r="P52" s="309">
        <f>SUM(P32:P51)</f>
        <v>73701</v>
      </c>
      <c r="Q52" s="305">
        <f t="shared" ref="Q52:Q53" si="6">P52-O52</f>
        <v>0</v>
      </c>
      <c r="R52" s="93">
        <f t="shared" si="5"/>
        <v>77221.603999999992</v>
      </c>
      <c r="S52" s="93">
        <f t="shared" si="5"/>
        <v>78321.603999999992</v>
      </c>
    </row>
    <row r="53" spans="1:20">
      <c r="A53" s="62"/>
      <c r="B53" s="62"/>
      <c r="C53" s="94" t="s">
        <v>12</v>
      </c>
      <c r="D53" s="94"/>
      <c r="E53" s="95">
        <f t="shared" ref="E53:S53" si="7">E52+E30</f>
        <v>374974</v>
      </c>
      <c r="F53" s="95">
        <f t="shared" si="7"/>
        <v>348274.92894000001</v>
      </c>
      <c r="G53" s="365">
        <f t="shared" si="7"/>
        <v>422659.5</v>
      </c>
      <c r="H53" s="365">
        <f t="shared" si="7"/>
        <v>439114.9</v>
      </c>
      <c r="I53" s="365">
        <f t="shared" si="7"/>
        <v>461266.35842999996</v>
      </c>
      <c r="J53" s="365">
        <f t="shared" si="7"/>
        <v>454838.60000000003</v>
      </c>
      <c r="K53" s="365">
        <f t="shared" si="7"/>
        <v>564317</v>
      </c>
      <c r="L53" s="365">
        <f t="shared" si="7"/>
        <v>565262.20000000007</v>
      </c>
      <c r="M53" s="365">
        <f t="shared" si="7"/>
        <v>617825.75739000004</v>
      </c>
      <c r="N53" s="95">
        <f t="shared" si="7"/>
        <v>560362</v>
      </c>
      <c r="O53" s="95">
        <f t="shared" si="7"/>
        <v>622835</v>
      </c>
      <c r="P53" s="305">
        <f t="shared" ref="P53" si="8">P52+P30</f>
        <v>667835</v>
      </c>
      <c r="Q53" s="305">
        <f t="shared" si="6"/>
        <v>45000</v>
      </c>
      <c r="R53" s="96">
        <f t="shared" si="7"/>
        <v>686974.60400000005</v>
      </c>
      <c r="S53" s="95">
        <f t="shared" si="7"/>
        <v>711746.60400000005</v>
      </c>
      <c r="T53" s="37"/>
    </row>
    <row r="54" spans="1:20" ht="13.5">
      <c r="A54" s="62"/>
      <c r="B54" s="62"/>
      <c r="C54" s="366" t="s">
        <v>13</v>
      </c>
      <c r="D54" s="366"/>
      <c r="E54" s="66"/>
      <c r="F54" s="66"/>
      <c r="G54" s="97"/>
      <c r="H54" s="97"/>
      <c r="I54" s="97"/>
      <c r="J54" s="97"/>
      <c r="K54" s="97"/>
      <c r="L54" s="97"/>
      <c r="M54" s="97"/>
      <c r="N54" s="66"/>
      <c r="O54" s="66"/>
      <c r="P54" s="310"/>
      <c r="Q54" s="310"/>
      <c r="R54" s="66"/>
      <c r="S54" s="66"/>
    </row>
    <row r="55" spans="1:20">
      <c r="A55" s="62">
        <v>34</v>
      </c>
      <c r="B55" s="62">
        <v>14232400</v>
      </c>
      <c r="C55" s="76" t="s">
        <v>59</v>
      </c>
      <c r="D55" s="76"/>
      <c r="E55" s="66">
        <v>34078</v>
      </c>
      <c r="F55" s="66">
        <v>8778.7540000000008</v>
      </c>
      <c r="G55" s="97">
        <f>33704.9-9695.4</f>
        <v>24009.5</v>
      </c>
      <c r="H55" s="97">
        <v>34009.5</v>
      </c>
      <c r="I55" s="97">
        <v>29692.421999999999</v>
      </c>
      <c r="J55" s="97">
        <v>52329.599999999999</v>
      </c>
      <c r="K55" s="97">
        <v>52329.599999999999</v>
      </c>
      <c r="L55" s="97">
        <v>52329.599999999999</v>
      </c>
      <c r="M55" s="97">
        <v>47288.578999999998</v>
      </c>
      <c r="N55" s="66">
        <v>53993</v>
      </c>
      <c r="O55" s="66">
        <v>61397.7</v>
      </c>
      <c r="P55" s="310">
        <v>61397.7</v>
      </c>
      <c r="Q55" s="302">
        <f t="shared" ref="Q55:Q56" si="9">P55-O55</f>
        <v>0</v>
      </c>
      <c r="R55" s="66">
        <v>55612.800000000003</v>
      </c>
      <c r="S55" s="66">
        <v>55612.800000000003</v>
      </c>
    </row>
    <row r="56" spans="1:20">
      <c r="A56" s="62">
        <v>35</v>
      </c>
      <c r="B56" s="62">
        <v>14232900</v>
      </c>
      <c r="C56" s="76" t="s">
        <v>88</v>
      </c>
      <c r="D56" s="76"/>
      <c r="E56" s="66">
        <v>650</v>
      </c>
      <c r="F56" s="66">
        <v>650</v>
      </c>
      <c r="G56" s="97">
        <v>650</v>
      </c>
      <c r="H56" s="97">
        <v>1000</v>
      </c>
      <c r="I56" s="97">
        <v>1141.508</v>
      </c>
      <c r="J56" s="97">
        <v>1100</v>
      </c>
      <c r="K56" s="97">
        <v>1100</v>
      </c>
      <c r="L56" s="97">
        <v>1100</v>
      </c>
      <c r="M56" s="97">
        <v>1532.35598</v>
      </c>
      <c r="N56" s="66">
        <v>1200</v>
      </c>
      <c r="O56" s="66">
        <v>2000</v>
      </c>
      <c r="P56" s="310">
        <v>2000</v>
      </c>
      <c r="Q56" s="302">
        <f t="shared" si="9"/>
        <v>0</v>
      </c>
      <c r="R56" s="66">
        <v>1250</v>
      </c>
      <c r="S56" s="66">
        <v>1300</v>
      </c>
    </row>
    <row r="57" spans="1:20" ht="25.5">
      <c r="A57" s="62">
        <v>36</v>
      </c>
      <c r="B57" s="62">
        <v>14236900</v>
      </c>
      <c r="C57" s="76" t="s">
        <v>89</v>
      </c>
      <c r="D57" s="76"/>
      <c r="E57" s="66"/>
      <c r="F57" s="66">
        <v>-9.4021000000000008</v>
      </c>
      <c r="G57" s="97"/>
      <c r="H57" s="97"/>
      <c r="I57" s="97"/>
      <c r="J57" s="97"/>
      <c r="K57" s="97"/>
      <c r="L57" s="97"/>
      <c r="M57" s="97"/>
      <c r="N57" s="66"/>
      <c r="O57" s="66"/>
      <c r="P57" s="310"/>
      <c r="Q57" s="310"/>
      <c r="R57" s="66"/>
      <c r="S57" s="66"/>
    </row>
    <row r="58" spans="1:20">
      <c r="A58" s="62">
        <v>37</v>
      </c>
      <c r="B58" s="62">
        <v>14238900</v>
      </c>
      <c r="C58" s="76" t="s">
        <v>55</v>
      </c>
      <c r="D58" s="76"/>
      <c r="E58" s="66">
        <v>47872</v>
      </c>
      <c r="F58" s="66">
        <v>38952.909740000003</v>
      </c>
      <c r="G58" s="97">
        <f>10287.6-278.2+700+157+38000+247.1+32000</f>
        <v>81113.5</v>
      </c>
      <c r="H58" s="97">
        <v>51076.6</v>
      </c>
      <c r="I58" s="97">
        <v>51108.462</v>
      </c>
      <c r="J58" s="97">
        <v>55938.9</v>
      </c>
      <c r="K58" s="97">
        <v>55938.9</v>
      </c>
      <c r="L58" s="97">
        <v>55938.9</v>
      </c>
      <c r="M58" s="97">
        <v>54438.173540000003</v>
      </c>
      <c r="N58" s="66">
        <v>70721.600000000006</v>
      </c>
      <c r="O58" s="66">
        <v>90368.1</v>
      </c>
      <c r="P58" s="310">
        <f>90368.1+1968.9-3390.7</f>
        <v>88946.3</v>
      </c>
      <c r="Q58" s="302">
        <f t="shared" ref="Q58:Q59" si="10">P58-O58</f>
        <v>-1421.8000000000029</v>
      </c>
      <c r="R58" s="66">
        <f>21589.5+233.6+750+71500+140+65</f>
        <v>94278.1</v>
      </c>
      <c r="S58" s="66">
        <f>21589.5+233.6+800+78650+140+70</f>
        <v>101483.1</v>
      </c>
    </row>
    <row r="59" spans="1:20">
      <c r="A59" s="62">
        <v>38</v>
      </c>
      <c r="B59" s="62">
        <v>14411100</v>
      </c>
      <c r="C59" s="70" t="s">
        <v>56</v>
      </c>
      <c r="D59" s="70"/>
      <c r="E59" s="66"/>
      <c r="F59" s="66">
        <v>3581.1924399999998</v>
      </c>
      <c r="G59" s="97">
        <v>100</v>
      </c>
      <c r="H59" s="97">
        <v>560.79999999999995</v>
      </c>
      <c r="I59" s="97">
        <v>358.70100000000002</v>
      </c>
      <c r="J59" s="97">
        <v>200</v>
      </c>
      <c r="K59" s="97">
        <v>200</v>
      </c>
      <c r="L59" s="97">
        <v>200</v>
      </c>
      <c r="M59" s="97"/>
      <c r="N59" s="66">
        <v>100</v>
      </c>
      <c r="O59" s="66">
        <v>100</v>
      </c>
      <c r="P59" s="310">
        <v>100</v>
      </c>
      <c r="Q59" s="302">
        <f t="shared" si="10"/>
        <v>0</v>
      </c>
      <c r="R59" s="66">
        <v>100</v>
      </c>
      <c r="S59" s="66">
        <v>100</v>
      </c>
    </row>
    <row r="60" spans="1:20">
      <c r="A60" s="62"/>
      <c r="B60" s="69"/>
      <c r="C60" s="71" t="s">
        <v>57</v>
      </c>
      <c r="D60" s="71"/>
      <c r="E60" s="93">
        <f t="shared" ref="E60:S60" si="11">SUM(E55:E59)</f>
        <v>82600</v>
      </c>
      <c r="F60" s="93">
        <f t="shared" si="11"/>
        <v>51953.454080000003</v>
      </c>
      <c r="G60" s="93">
        <f t="shared" si="11"/>
        <v>105873</v>
      </c>
      <c r="H60" s="93">
        <f t="shared" si="11"/>
        <v>86646.900000000009</v>
      </c>
      <c r="I60" s="93">
        <f t="shared" si="11"/>
        <v>82301.092999999993</v>
      </c>
      <c r="J60" s="93">
        <f t="shared" si="11"/>
        <v>109568.5</v>
      </c>
      <c r="K60" s="93">
        <f t="shared" si="11"/>
        <v>109568.5</v>
      </c>
      <c r="L60" s="93">
        <f>SUM(L55:L59)</f>
        <v>109568.5</v>
      </c>
      <c r="M60" s="93">
        <f t="shared" si="11"/>
        <v>103259.10852000001</v>
      </c>
      <c r="N60" s="93">
        <f>SUM(N55:N59)</f>
        <v>126014.6</v>
      </c>
      <c r="O60" s="93">
        <f>SUM(O55:O59)</f>
        <v>153865.79999999999</v>
      </c>
      <c r="P60" s="309">
        <f>SUM(P55:P59)</f>
        <v>152444</v>
      </c>
      <c r="Q60" s="305">
        <f t="shared" ref="Q60" si="12">P60-O60</f>
        <v>-1421.7999999999884</v>
      </c>
      <c r="R60" s="93">
        <f t="shared" si="11"/>
        <v>151240.90000000002</v>
      </c>
      <c r="S60" s="93">
        <f t="shared" si="11"/>
        <v>158495.90000000002</v>
      </c>
    </row>
    <row r="61" spans="1:20">
      <c r="A61" s="62">
        <v>39</v>
      </c>
      <c r="B61" s="69"/>
      <c r="C61" s="367" t="s">
        <v>110</v>
      </c>
      <c r="D61" s="70"/>
      <c r="E61" s="98"/>
      <c r="F61" s="98">
        <v>2222.3000000000002</v>
      </c>
      <c r="G61" s="98"/>
      <c r="H61" s="98">
        <v>5000</v>
      </c>
      <c r="I61" s="98">
        <v>5523</v>
      </c>
      <c r="J61" s="98"/>
      <c r="K61" s="98"/>
      <c r="L61" s="98">
        <f>14219.8</f>
        <v>14219.8</v>
      </c>
      <c r="M61" s="98">
        <f>14219.8-711.4</f>
        <v>13508.4</v>
      </c>
      <c r="N61" s="98"/>
      <c r="O61" s="98"/>
      <c r="P61" s="311"/>
      <c r="Q61" s="311"/>
      <c r="R61" s="98"/>
      <c r="S61" s="98"/>
    </row>
    <row r="62" spans="1:20">
      <c r="A62" s="62"/>
      <c r="B62" s="69"/>
      <c r="C62" s="368" t="s">
        <v>58</v>
      </c>
      <c r="D62" s="368"/>
      <c r="E62" s="93">
        <f>E60+E61+E53</f>
        <v>457574</v>
      </c>
      <c r="F62" s="93">
        <f t="shared" ref="F62:M62" si="13">F60+F53+F61</f>
        <v>402450.68302</v>
      </c>
      <c r="G62" s="93">
        <f t="shared" si="13"/>
        <v>528532.5</v>
      </c>
      <c r="H62" s="93">
        <f t="shared" si="13"/>
        <v>530761.80000000005</v>
      </c>
      <c r="I62" s="93">
        <f t="shared" si="13"/>
        <v>549090.4514299999</v>
      </c>
      <c r="J62" s="93">
        <f t="shared" si="13"/>
        <v>564407.10000000009</v>
      </c>
      <c r="K62" s="93">
        <f t="shared" si="13"/>
        <v>673885.5</v>
      </c>
      <c r="L62" s="93">
        <f>L60+L53+L61</f>
        <v>689050.50000000012</v>
      </c>
      <c r="M62" s="93">
        <f t="shared" si="13"/>
        <v>734593.26591000007</v>
      </c>
      <c r="N62" s="93">
        <f>N60+N53</f>
        <v>686376.6</v>
      </c>
      <c r="O62" s="93">
        <f>O60+O53</f>
        <v>776700.8</v>
      </c>
      <c r="P62" s="309">
        <f>P60+P53</f>
        <v>820279</v>
      </c>
      <c r="Q62" s="305">
        <f t="shared" ref="Q62" si="14">P62-O62</f>
        <v>43578.199999999953</v>
      </c>
      <c r="R62" s="93">
        <f>R60+R53</f>
        <v>838215.50400000007</v>
      </c>
      <c r="S62" s="93">
        <f>S60+S53</f>
        <v>870242.50400000007</v>
      </c>
    </row>
    <row r="63" spans="1:20">
      <c r="P63" s="37"/>
      <c r="Q63" s="37"/>
    </row>
    <row r="64" spans="1:20">
      <c r="F64" s="37"/>
    </row>
    <row r="65" spans="2:2">
      <c r="B65" s="2" t="s">
        <v>111</v>
      </c>
    </row>
  </sheetData>
  <mergeCells count="15">
    <mergeCell ref="A7:S7"/>
    <mergeCell ref="C9:C10"/>
    <mergeCell ref="D9:D10"/>
    <mergeCell ref="G9:G10"/>
    <mergeCell ref="I9:I10"/>
    <mergeCell ref="J9:J10"/>
    <mergeCell ref="K9:K10"/>
    <mergeCell ref="L9:L10"/>
    <mergeCell ref="M9:M10"/>
    <mergeCell ref="R9:R10"/>
    <mergeCell ref="S9:S10"/>
    <mergeCell ref="N9:N10"/>
    <mergeCell ref="O9:O10"/>
    <mergeCell ref="P9:P10"/>
    <mergeCell ref="Q9:Q10"/>
  </mergeCells>
  <printOptions horizontalCentered="1"/>
  <pageMargins left="0.19685039370078741" right="0.19685039370078741" top="0.31496062992125984" bottom="0.31496062992125984" header="0.51181102362204722" footer="0"/>
  <pageSetup paperSize="9" scale="81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6"/>
  <sheetViews>
    <sheetView topLeftCell="A46" workbookViewId="0">
      <selection activeCell="B144" sqref="A1:XFD1048576"/>
    </sheetView>
  </sheetViews>
  <sheetFormatPr defaultColWidth="9.140625" defaultRowHeight="12.75"/>
  <cols>
    <col min="1" max="1" width="3" style="48" bestFit="1" customWidth="1"/>
    <col min="2" max="2" width="26" style="48" customWidth="1"/>
    <col min="3" max="3" width="8.42578125" style="48" bestFit="1" customWidth="1"/>
    <col min="4" max="4" width="18.42578125" style="48" customWidth="1"/>
    <col min="5" max="5" width="12.140625" style="48" customWidth="1"/>
    <col min="6" max="6" width="13" style="48" hidden="1" customWidth="1"/>
    <col min="7" max="7" width="11.5703125" style="48" hidden="1" customWidth="1"/>
    <col min="8" max="8" width="9.42578125" style="48" hidden="1" customWidth="1"/>
    <col min="9" max="9" width="9" style="48" hidden="1" customWidth="1"/>
    <col min="10" max="10" width="40" style="48" customWidth="1"/>
    <col min="11" max="12" width="9.140625" style="48"/>
    <col min="13" max="13" width="9.140625" style="46"/>
    <col min="14" max="16384" width="9.140625" style="48"/>
  </cols>
  <sheetData>
    <row r="1" spans="1:13">
      <c r="J1" s="3"/>
    </row>
    <row r="2" spans="1:13">
      <c r="J2" s="32"/>
    </row>
    <row r="3" spans="1:13">
      <c r="J3" s="3"/>
    </row>
    <row r="4" spans="1:13">
      <c r="J4" s="3"/>
    </row>
    <row r="5" spans="1:13">
      <c r="J5" s="35" t="s">
        <v>232</v>
      </c>
    </row>
    <row r="6" spans="1:13">
      <c r="J6" s="35"/>
    </row>
    <row r="7" spans="1:13" ht="27" customHeight="1">
      <c r="A7" s="425" t="s">
        <v>112</v>
      </c>
      <c r="B7" s="426"/>
      <c r="C7" s="426"/>
      <c r="D7" s="426"/>
      <c r="E7" s="426"/>
      <c r="F7" s="426"/>
      <c r="G7" s="426"/>
      <c r="H7" s="426"/>
      <c r="I7" s="426"/>
      <c r="J7" s="426"/>
    </row>
    <row r="8" spans="1:13" ht="39" customHeight="1">
      <c r="A8" s="165" t="s">
        <v>2</v>
      </c>
      <c r="B8" s="165" t="s">
        <v>25</v>
      </c>
      <c r="C8" s="165" t="s">
        <v>113</v>
      </c>
      <c r="D8" s="30" t="s">
        <v>273</v>
      </c>
      <c r="E8" s="30" t="s">
        <v>235</v>
      </c>
      <c r="F8" s="30" t="s">
        <v>256</v>
      </c>
      <c r="G8" s="30" t="s">
        <v>257</v>
      </c>
      <c r="H8" s="30" t="s">
        <v>234</v>
      </c>
      <c r="I8" s="30" t="s">
        <v>90</v>
      </c>
      <c r="J8" s="165" t="s">
        <v>114</v>
      </c>
    </row>
    <row r="9" spans="1:13">
      <c r="A9" s="44">
        <v>1</v>
      </c>
      <c r="B9" s="44">
        <v>2</v>
      </c>
      <c r="C9" s="44">
        <v>3</v>
      </c>
      <c r="D9" s="44">
        <v>4</v>
      </c>
      <c r="E9" s="44">
        <v>5</v>
      </c>
      <c r="F9" s="44">
        <v>6</v>
      </c>
      <c r="G9" s="44">
        <v>7</v>
      </c>
      <c r="H9" s="44">
        <v>8</v>
      </c>
      <c r="I9" s="44">
        <v>9</v>
      </c>
      <c r="J9" s="44">
        <v>10</v>
      </c>
    </row>
    <row r="10" spans="1:13">
      <c r="A10" s="412">
        <v>1</v>
      </c>
      <c r="B10" s="446" t="s">
        <v>115</v>
      </c>
      <c r="C10" s="6">
        <v>2222</v>
      </c>
      <c r="D10" s="100">
        <v>3.5</v>
      </c>
      <c r="E10" s="100"/>
      <c r="F10" s="100"/>
      <c r="G10" s="101"/>
      <c r="H10" s="100"/>
      <c r="I10" s="101"/>
      <c r="J10" s="424" t="s">
        <v>254</v>
      </c>
    </row>
    <row r="11" spans="1:13">
      <c r="A11" s="412"/>
      <c r="B11" s="446"/>
      <c r="C11" s="6">
        <v>3112</v>
      </c>
      <c r="D11" s="100">
        <v>10.1</v>
      </c>
      <c r="E11" s="100"/>
      <c r="F11" s="100"/>
      <c r="G11" s="101"/>
      <c r="H11" s="100"/>
      <c r="I11" s="101"/>
      <c r="J11" s="424"/>
    </row>
    <row r="12" spans="1:13">
      <c r="A12" s="412"/>
      <c r="B12" s="446"/>
      <c r="C12" s="6">
        <v>2111</v>
      </c>
      <c r="D12" s="100">
        <v>55.3</v>
      </c>
      <c r="E12" s="100"/>
      <c r="F12" s="100"/>
      <c r="G12" s="101"/>
      <c r="H12" s="100"/>
      <c r="I12" s="101"/>
      <c r="J12" s="424" t="s">
        <v>260</v>
      </c>
    </row>
    <row r="13" spans="1:13">
      <c r="A13" s="412"/>
      <c r="B13" s="446"/>
      <c r="C13" s="6">
        <v>2121</v>
      </c>
      <c r="D13" s="100">
        <v>9.5</v>
      </c>
      <c r="E13" s="100"/>
      <c r="F13" s="100"/>
      <c r="G13" s="101"/>
      <c r="H13" s="100"/>
      <c r="I13" s="101"/>
      <c r="J13" s="424"/>
    </row>
    <row r="14" spans="1:13">
      <c r="A14" s="412">
        <v>2</v>
      </c>
      <c r="B14" s="446" t="s">
        <v>23</v>
      </c>
      <c r="C14" s="6">
        <v>2215</v>
      </c>
      <c r="D14" s="100">
        <v>3.4</v>
      </c>
      <c r="E14" s="100"/>
      <c r="F14" s="100"/>
      <c r="G14" s="100"/>
      <c r="H14" s="100"/>
      <c r="I14" s="100"/>
      <c r="J14" s="424" t="s">
        <v>254</v>
      </c>
      <c r="K14" s="51"/>
      <c r="L14" s="51"/>
      <c r="M14" s="122"/>
    </row>
    <row r="15" spans="1:13">
      <c r="A15" s="412"/>
      <c r="B15" s="446"/>
      <c r="C15" s="6">
        <v>2218</v>
      </c>
      <c r="D15" s="100">
        <v>33.5</v>
      </c>
      <c r="E15" s="100"/>
      <c r="F15" s="100"/>
      <c r="G15" s="100"/>
      <c r="H15" s="100"/>
      <c r="I15" s="100"/>
      <c r="J15" s="424"/>
      <c r="K15" s="51"/>
      <c r="L15" s="51"/>
      <c r="M15" s="122"/>
    </row>
    <row r="16" spans="1:13" s="52" customFormat="1" hidden="1">
      <c r="A16" s="161"/>
      <c r="B16" s="8" t="s">
        <v>117</v>
      </c>
      <c r="C16" s="6"/>
      <c r="D16" s="100"/>
      <c r="E16" s="100"/>
      <c r="F16" s="100"/>
      <c r="G16" s="100"/>
      <c r="H16" s="100"/>
      <c r="I16" s="101"/>
      <c r="J16" s="7"/>
      <c r="M16" s="123"/>
    </row>
    <row r="17" spans="1:13" s="52" customFormat="1" ht="25.5">
      <c r="A17" s="161">
        <v>3</v>
      </c>
      <c r="B17" s="8" t="s">
        <v>19</v>
      </c>
      <c r="C17" s="6">
        <v>2215</v>
      </c>
      <c r="D17" s="100">
        <v>50.1</v>
      </c>
      <c r="E17" s="100"/>
      <c r="F17" s="100"/>
      <c r="G17" s="101"/>
      <c r="H17" s="100"/>
      <c r="I17" s="101"/>
      <c r="J17" s="162" t="s">
        <v>254</v>
      </c>
      <c r="M17" s="123"/>
    </row>
    <row r="18" spans="1:13" s="52" customFormat="1" ht="25.5">
      <c r="A18" s="161">
        <v>4</v>
      </c>
      <c r="B18" s="8" t="s">
        <v>121</v>
      </c>
      <c r="C18" s="6">
        <v>2215</v>
      </c>
      <c r="D18" s="100">
        <v>12.2</v>
      </c>
      <c r="E18" s="100"/>
      <c r="F18" s="100"/>
      <c r="G18" s="101"/>
      <c r="H18" s="100"/>
      <c r="I18" s="101"/>
      <c r="J18" s="162" t="s">
        <v>254</v>
      </c>
      <c r="M18" s="123"/>
    </row>
    <row r="19" spans="1:13" s="52" customFormat="1">
      <c r="A19" s="412">
        <v>5</v>
      </c>
      <c r="B19" s="446" t="s">
        <v>123</v>
      </c>
      <c r="C19" s="6">
        <v>2214</v>
      </c>
      <c r="D19" s="100">
        <v>7.5</v>
      </c>
      <c r="E19" s="100"/>
      <c r="F19" s="100"/>
      <c r="G19" s="100"/>
      <c r="H19" s="100"/>
      <c r="I19" s="101"/>
      <c r="J19" s="424" t="s">
        <v>254</v>
      </c>
      <c r="M19" s="123"/>
    </row>
    <row r="20" spans="1:13" s="52" customFormat="1">
      <c r="A20" s="412"/>
      <c r="B20" s="446"/>
      <c r="C20" s="6">
        <v>2215</v>
      </c>
      <c r="D20" s="100">
        <v>23.7</v>
      </c>
      <c r="E20" s="100"/>
      <c r="F20" s="100"/>
      <c r="G20" s="100"/>
      <c r="H20" s="100"/>
      <c r="I20" s="101"/>
      <c r="J20" s="424"/>
      <c r="M20" s="123"/>
    </row>
    <row r="21" spans="1:13" s="52" customFormat="1">
      <c r="A21" s="412"/>
      <c r="B21" s="446"/>
      <c r="C21" s="6">
        <v>2218</v>
      </c>
      <c r="D21" s="100">
        <v>3.6</v>
      </c>
      <c r="E21" s="100"/>
      <c r="F21" s="100"/>
      <c r="G21" s="100"/>
      <c r="H21" s="100"/>
      <c r="I21" s="101"/>
      <c r="J21" s="424"/>
      <c r="M21" s="123"/>
    </row>
    <row r="22" spans="1:13" s="52" customFormat="1">
      <c r="A22" s="412"/>
      <c r="B22" s="446"/>
      <c r="C22" s="6">
        <v>2222</v>
      </c>
      <c r="D22" s="100">
        <v>70</v>
      </c>
      <c r="E22" s="100"/>
      <c r="F22" s="100"/>
      <c r="G22" s="100"/>
      <c r="H22" s="100"/>
      <c r="I22" s="101"/>
      <c r="J22" s="424"/>
      <c r="M22" s="123"/>
    </row>
    <row r="23" spans="1:13" s="52" customFormat="1">
      <c r="A23" s="412"/>
      <c r="B23" s="446"/>
      <c r="C23" s="6">
        <v>3112</v>
      </c>
      <c r="D23" s="100">
        <v>9.6999999999999993</v>
      </c>
      <c r="E23" s="100"/>
      <c r="F23" s="100"/>
      <c r="G23" s="100"/>
      <c r="H23" s="100"/>
      <c r="I23" s="101"/>
      <c r="J23" s="424"/>
      <c r="M23" s="123"/>
    </row>
    <row r="24" spans="1:13" ht="25.5" hidden="1">
      <c r="A24" s="161"/>
      <c r="B24" s="245" t="s">
        <v>188</v>
      </c>
      <c r="C24" s="6"/>
      <c r="D24" s="166"/>
      <c r="E24" s="166"/>
      <c r="F24" s="100"/>
      <c r="G24" s="102"/>
      <c r="H24" s="100"/>
      <c r="I24" s="102"/>
      <c r="J24" s="162"/>
    </row>
    <row r="25" spans="1:13">
      <c r="A25" s="412">
        <v>6</v>
      </c>
      <c r="B25" s="447" t="s">
        <v>18</v>
      </c>
      <c r="C25" s="6">
        <v>2214</v>
      </c>
      <c r="D25" s="100">
        <v>38</v>
      </c>
      <c r="E25" s="100"/>
      <c r="F25" s="100"/>
      <c r="G25" s="102"/>
      <c r="H25" s="100"/>
      <c r="I25" s="102"/>
      <c r="J25" s="424" t="s">
        <v>254</v>
      </c>
    </row>
    <row r="26" spans="1:13">
      <c r="A26" s="412"/>
      <c r="B26" s="447"/>
      <c r="C26" s="6">
        <v>2222</v>
      </c>
      <c r="D26" s="100">
        <v>23.5</v>
      </c>
      <c r="E26" s="100"/>
      <c r="F26" s="100"/>
      <c r="G26" s="102"/>
      <c r="H26" s="100"/>
      <c r="I26" s="102"/>
      <c r="J26" s="424"/>
    </row>
    <row r="27" spans="1:13">
      <c r="A27" s="412"/>
      <c r="B27" s="447"/>
      <c r="C27" s="6">
        <v>2223</v>
      </c>
      <c r="D27" s="100">
        <v>1.4</v>
      </c>
      <c r="E27" s="100"/>
      <c r="F27" s="100"/>
      <c r="G27" s="102"/>
      <c r="H27" s="100"/>
      <c r="I27" s="102"/>
      <c r="J27" s="424"/>
    </row>
    <row r="28" spans="1:13">
      <c r="A28" s="412"/>
      <c r="B28" s="447"/>
      <c r="C28" s="6">
        <v>3112</v>
      </c>
      <c r="D28" s="100">
        <v>3.7</v>
      </c>
      <c r="E28" s="100"/>
      <c r="F28" s="100"/>
      <c r="G28" s="102"/>
      <c r="H28" s="100"/>
      <c r="I28" s="102"/>
      <c r="J28" s="424"/>
    </row>
    <row r="29" spans="1:13">
      <c r="A29" s="412"/>
      <c r="B29" s="447"/>
      <c r="C29" s="6">
        <v>3113</v>
      </c>
      <c r="D29" s="100">
        <v>179.5</v>
      </c>
      <c r="E29" s="100"/>
      <c r="F29" s="100"/>
      <c r="G29" s="102"/>
      <c r="H29" s="100"/>
      <c r="I29" s="102"/>
      <c r="J29" s="424"/>
    </row>
    <row r="30" spans="1:13">
      <c r="A30" s="412"/>
      <c r="B30" s="447"/>
      <c r="C30" s="6">
        <v>3111</v>
      </c>
      <c r="D30" s="100">
        <v>3</v>
      </c>
      <c r="E30" s="100"/>
      <c r="F30" s="100"/>
      <c r="G30" s="102"/>
      <c r="H30" s="100"/>
      <c r="I30" s="102"/>
      <c r="J30" s="424"/>
    </row>
    <row r="31" spans="1:13">
      <c r="A31" s="412"/>
      <c r="B31" s="447"/>
      <c r="C31" s="6">
        <v>2215</v>
      </c>
      <c r="D31" s="100">
        <v>83</v>
      </c>
      <c r="E31" s="100"/>
      <c r="F31" s="100"/>
      <c r="G31" s="102"/>
      <c r="H31" s="100"/>
      <c r="I31" s="102"/>
      <c r="J31" s="424"/>
    </row>
    <row r="32" spans="1:13">
      <c r="A32" s="412">
        <v>7</v>
      </c>
      <c r="B32" s="447" t="s">
        <v>116</v>
      </c>
      <c r="C32" s="6">
        <v>2214</v>
      </c>
      <c r="D32" s="100">
        <v>554.5</v>
      </c>
      <c r="E32" s="100"/>
      <c r="F32" s="100"/>
      <c r="G32" s="102"/>
      <c r="H32" s="100"/>
      <c r="I32" s="102"/>
      <c r="J32" s="424" t="s">
        <v>254</v>
      </c>
    </row>
    <row r="33" spans="1:13">
      <c r="A33" s="412"/>
      <c r="B33" s="447"/>
      <c r="C33" s="6">
        <v>2222</v>
      </c>
      <c r="D33" s="100">
        <v>124.8</v>
      </c>
      <c r="E33" s="100"/>
      <c r="F33" s="100"/>
      <c r="G33" s="102"/>
      <c r="H33" s="100"/>
      <c r="I33" s="102"/>
      <c r="J33" s="424"/>
    </row>
    <row r="34" spans="1:13" ht="25.5">
      <c r="A34" s="161">
        <v>8</v>
      </c>
      <c r="B34" s="7" t="s">
        <v>240</v>
      </c>
      <c r="C34" s="6">
        <v>2215</v>
      </c>
      <c r="D34" s="100">
        <v>0.4</v>
      </c>
      <c r="E34" s="100"/>
      <c r="F34" s="100"/>
      <c r="G34" s="102"/>
      <c r="H34" s="100"/>
      <c r="I34" s="102"/>
      <c r="J34" s="162" t="s">
        <v>254</v>
      </c>
      <c r="K34" s="51"/>
      <c r="L34" s="50"/>
      <c r="M34" s="144"/>
    </row>
    <row r="35" spans="1:13">
      <c r="A35" s="412">
        <v>9</v>
      </c>
      <c r="B35" s="447" t="s">
        <v>149</v>
      </c>
      <c r="C35" s="6">
        <v>2214</v>
      </c>
      <c r="D35" s="100">
        <v>183</v>
      </c>
      <c r="E35" s="100"/>
      <c r="F35" s="100"/>
      <c r="G35" s="102"/>
      <c r="H35" s="100"/>
      <c r="I35" s="102"/>
      <c r="J35" s="424" t="s">
        <v>254</v>
      </c>
    </row>
    <row r="36" spans="1:13">
      <c r="A36" s="412"/>
      <c r="B36" s="447"/>
      <c r="C36" s="6">
        <v>2215</v>
      </c>
      <c r="D36" s="100">
        <v>66.400000000000006</v>
      </c>
      <c r="E36" s="100"/>
      <c r="F36" s="100"/>
      <c r="G36" s="102"/>
      <c r="H36" s="100"/>
      <c r="I36" s="102"/>
      <c r="J36" s="424"/>
    </row>
    <row r="37" spans="1:13">
      <c r="A37" s="412"/>
      <c r="B37" s="447"/>
      <c r="C37" s="6">
        <v>2222</v>
      </c>
      <c r="D37" s="100">
        <v>449.7</v>
      </c>
      <c r="E37" s="100"/>
      <c r="F37" s="100"/>
      <c r="G37" s="102"/>
      <c r="H37" s="100"/>
      <c r="I37" s="102"/>
      <c r="J37" s="424"/>
    </row>
    <row r="38" spans="1:13">
      <c r="A38" s="412"/>
      <c r="B38" s="447"/>
      <c r="C38" s="6">
        <v>2223</v>
      </c>
      <c r="D38" s="100">
        <v>57.4</v>
      </c>
      <c r="E38" s="100"/>
      <c r="F38" s="100"/>
      <c r="G38" s="102"/>
      <c r="H38" s="100"/>
      <c r="I38" s="102"/>
      <c r="J38" s="424"/>
      <c r="K38" s="51"/>
      <c r="L38" s="51"/>
      <c r="M38" s="122"/>
    </row>
    <row r="39" spans="1:13">
      <c r="A39" s="412"/>
      <c r="B39" s="447"/>
      <c r="C39" s="6">
        <v>3112</v>
      </c>
      <c r="D39" s="100">
        <v>26</v>
      </c>
      <c r="E39" s="100"/>
      <c r="F39" s="100"/>
      <c r="G39" s="102"/>
      <c r="H39" s="100"/>
      <c r="I39" s="102"/>
      <c r="J39" s="424"/>
      <c r="K39" s="51"/>
      <c r="L39" s="51"/>
      <c r="M39" s="122"/>
    </row>
    <row r="40" spans="1:13">
      <c r="A40" s="412"/>
      <c r="B40" s="447"/>
      <c r="C40" s="6">
        <v>3122</v>
      </c>
      <c r="D40" s="100">
        <v>2460.3000000000002</v>
      </c>
      <c r="E40" s="100"/>
      <c r="F40" s="100"/>
      <c r="G40" s="102"/>
      <c r="H40" s="100"/>
      <c r="I40" s="102"/>
      <c r="J40" s="424"/>
      <c r="K40" s="51"/>
      <c r="L40" s="51"/>
      <c r="M40" s="122"/>
    </row>
    <row r="41" spans="1:13" hidden="1">
      <c r="A41" s="412"/>
      <c r="B41" s="447" t="s">
        <v>133</v>
      </c>
      <c r="C41" s="6"/>
      <c r="D41" s="100"/>
      <c r="E41" s="100"/>
      <c r="F41" s="100"/>
      <c r="G41" s="102"/>
      <c r="H41" s="100"/>
      <c r="I41" s="102"/>
      <c r="J41" s="162"/>
      <c r="L41" s="50"/>
    </row>
    <row r="42" spans="1:13" hidden="1">
      <c r="A42" s="412"/>
      <c r="B42" s="447"/>
      <c r="C42" s="6"/>
      <c r="D42" s="100"/>
      <c r="E42" s="100"/>
      <c r="F42" s="100"/>
      <c r="G42" s="102"/>
      <c r="H42" s="100"/>
      <c r="I42" s="102"/>
      <c r="J42" s="162"/>
      <c r="L42" s="50"/>
    </row>
    <row r="43" spans="1:13">
      <c r="A43" s="412">
        <v>10</v>
      </c>
      <c r="B43" s="446" t="s">
        <v>16</v>
      </c>
      <c r="C43" s="6">
        <v>2214</v>
      </c>
      <c r="D43" s="100">
        <v>6.5</v>
      </c>
      <c r="E43" s="100"/>
      <c r="F43" s="100"/>
      <c r="G43" s="102"/>
      <c r="H43" s="100"/>
      <c r="I43" s="102"/>
      <c r="J43" s="424" t="s">
        <v>254</v>
      </c>
    </row>
    <row r="44" spans="1:13">
      <c r="A44" s="412"/>
      <c r="B44" s="446"/>
      <c r="C44" s="6">
        <v>2215</v>
      </c>
      <c r="D44" s="100">
        <v>80.5</v>
      </c>
      <c r="E44" s="100"/>
      <c r="F44" s="100"/>
      <c r="G44" s="102"/>
      <c r="H44" s="100"/>
      <c r="I44" s="102"/>
      <c r="J44" s="424"/>
    </row>
    <row r="45" spans="1:13">
      <c r="A45" s="412"/>
      <c r="B45" s="446"/>
      <c r="C45" s="6">
        <v>2222</v>
      </c>
      <c r="D45" s="100">
        <v>2.6</v>
      </c>
      <c r="E45" s="100"/>
      <c r="F45" s="100"/>
      <c r="G45" s="102"/>
      <c r="H45" s="100"/>
      <c r="I45" s="102"/>
      <c r="J45" s="424"/>
      <c r="K45" s="251">
        <v>504.9</v>
      </c>
    </row>
    <row r="46" spans="1:13">
      <c r="A46" s="412"/>
      <c r="B46" s="446"/>
      <c r="C46" s="6">
        <v>3111</v>
      </c>
      <c r="D46" s="100">
        <v>4970.3999999999996</v>
      </c>
      <c r="E46" s="100"/>
      <c r="F46" s="100"/>
      <c r="G46" s="102"/>
      <c r="H46" s="100"/>
      <c r="I46" s="102"/>
      <c r="J46" s="424"/>
    </row>
    <row r="47" spans="1:13">
      <c r="A47" s="412">
        <v>11</v>
      </c>
      <c r="B47" s="446" t="s">
        <v>17</v>
      </c>
      <c r="C47" s="6">
        <v>2214</v>
      </c>
      <c r="D47" s="100">
        <v>34.9</v>
      </c>
      <c r="E47" s="100"/>
      <c r="F47" s="100"/>
      <c r="G47" s="102"/>
      <c r="H47" s="100"/>
      <c r="I47" s="102"/>
      <c r="J47" s="424" t="s">
        <v>254</v>
      </c>
    </row>
    <row r="48" spans="1:13">
      <c r="A48" s="412"/>
      <c r="B48" s="446"/>
      <c r="C48" s="6">
        <v>2215</v>
      </c>
      <c r="D48" s="100">
        <v>83.1</v>
      </c>
      <c r="E48" s="100"/>
      <c r="F48" s="100"/>
      <c r="G48" s="102"/>
      <c r="H48" s="100"/>
      <c r="I48" s="102"/>
      <c r="J48" s="424"/>
    </row>
    <row r="49" spans="1:12">
      <c r="A49" s="412"/>
      <c r="B49" s="446"/>
      <c r="C49" s="6">
        <v>2221</v>
      </c>
      <c r="D49" s="100">
        <v>18.2</v>
      </c>
      <c r="E49" s="100"/>
      <c r="F49" s="100"/>
      <c r="G49" s="102"/>
      <c r="H49" s="100"/>
      <c r="I49" s="102"/>
      <c r="J49" s="424"/>
    </row>
    <row r="50" spans="1:12">
      <c r="A50" s="412"/>
      <c r="B50" s="446"/>
      <c r="C50" s="6">
        <v>2222</v>
      </c>
      <c r="D50" s="100">
        <v>594.6</v>
      </c>
      <c r="E50" s="100"/>
      <c r="F50" s="100"/>
      <c r="G50" s="102"/>
      <c r="H50" s="100"/>
      <c r="I50" s="102"/>
      <c r="J50" s="424"/>
    </row>
    <row r="51" spans="1:12">
      <c r="A51" s="412"/>
      <c r="B51" s="446"/>
      <c r="C51" s="6">
        <v>3112</v>
      </c>
      <c r="D51" s="100">
        <v>202.1</v>
      </c>
      <c r="E51" s="100"/>
      <c r="F51" s="100"/>
      <c r="G51" s="102"/>
      <c r="H51" s="100"/>
      <c r="I51" s="102"/>
      <c r="J51" s="424"/>
    </row>
    <row r="52" spans="1:12">
      <c r="A52" s="412">
        <v>12</v>
      </c>
      <c r="B52" s="446" t="s">
        <v>28</v>
      </c>
      <c r="C52" s="6">
        <v>2111</v>
      </c>
      <c r="D52" s="100">
        <v>164.4</v>
      </c>
      <c r="E52" s="100"/>
      <c r="F52" s="100"/>
      <c r="G52" s="102"/>
      <c r="H52" s="100"/>
      <c r="I52" s="102"/>
      <c r="J52" s="424" t="s">
        <v>254</v>
      </c>
    </row>
    <row r="53" spans="1:12">
      <c r="A53" s="412"/>
      <c r="B53" s="446"/>
      <c r="C53" s="6">
        <v>2121</v>
      </c>
      <c r="D53" s="100">
        <v>28.4</v>
      </c>
      <c r="E53" s="100"/>
      <c r="F53" s="100"/>
      <c r="G53" s="102"/>
      <c r="H53" s="100"/>
      <c r="I53" s="102"/>
      <c r="J53" s="424"/>
    </row>
    <row r="54" spans="1:12">
      <c r="A54" s="412"/>
      <c r="B54" s="446"/>
      <c r="C54" s="6">
        <v>2214</v>
      </c>
      <c r="D54" s="100">
        <v>1.9</v>
      </c>
      <c r="E54" s="100"/>
      <c r="F54" s="100"/>
      <c r="G54" s="102"/>
      <c r="H54" s="100"/>
      <c r="I54" s="102"/>
      <c r="J54" s="424"/>
    </row>
    <row r="55" spans="1:12">
      <c r="A55" s="412"/>
      <c r="B55" s="446"/>
      <c r="C55" s="6">
        <v>2215</v>
      </c>
      <c r="D55" s="100">
        <f>5+6+17.8+0.5+7.5+4</f>
        <v>40.799999999999997</v>
      </c>
      <c r="E55" s="100"/>
      <c r="F55" s="100"/>
      <c r="G55" s="102"/>
      <c r="H55" s="100"/>
      <c r="I55" s="102"/>
      <c r="J55" s="424"/>
    </row>
    <row r="56" spans="1:12">
      <c r="A56" s="412"/>
      <c r="B56" s="446"/>
      <c r="C56" s="6">
        <v>2222</v>
      </c>
      <c r="D56" s="100">
        <v>28.8</v>
      </c>
      <c r="E56" s="100"/>
      <c r="F56" s="100"/>
      <c r="G56" s="102"/>
      <c r="H56" s="100"/>
      <c r="I56" s="102"/>
      <c r="J56" s="424"/>
    </row>
    <row r="57" spans="1:12">
      <c r="A57" s="412"/>
      <c r="B57" s="446"/>
      <c r="C57" s="6">
        <v>3112</v>
      </c>
      <c r="D57" s="100">
        <v>17.399999999999999</v>
      </c>
      <c r="E57" s="100"/>
      <c r="F57" s="100"/>
      <c r="G57" s="102"/>
      <c r="H57" s="100"/>
      <c r="I57" s="102"/>
      <c r="J57" s="424"/>
    </row>
    <row r="58" spans="1:12">
      <c r="A58" s="412">
        <v>13</v>
      </c>
      <c r="B58" s="446" t="s">
        <v>15</v>
      </c>
      <c r="C58" s="6">
        <v>2214</v>
      </c>
      <c r="D58" s="100">
        <v>3.9</v>
      </c>
      <c r="E58" s="100"/>
      <c r="F58" s="100"/>
      <c r="G58" s="102"/>
      <c r="H58" s="100"/>
      <c r="I58" s="102"/>
      <c r="J58" s="424" t="s">
        <v>254</v>
      </c>
    </row>
    <row r="59" spans="1:12">
      <c r="A59" s="412"/>
      <c r="B59" s="446"/>
      <c r="C59" s="6">
        <v>2222</v>
      </c>
      <c r="D59" s="100">
        <v>16.100000000000001</v>
      </c>
      <c r="E59" s="100"/>
      <c r="F59" s="100"/>
      <c r="G59" s="102"/>
      <c r="H59" s="100"/>
      <c r="I59" s="102"/>
      <c r="J59" s="424"/>
      <c r="L59" s="50"/>
    </row>
    <row r="60" spans="1:12">
      <c r="A60" s="412"/>
      <c r="B60" s="446"/>
      <c r="C60" s="6">
        <v>3112</v>
      </c>
      <c r="D60" s="100">
        <v>10.5</v>
      </c>
      <c r="E60" s="100"/>
      <c r="F60" s="100"/>
      <c r="G60" s="102"/>
      <c r="H60" s="100"/>
      <c r="I60" s="102"/>
      <c r="J60" s="424"/>
      <c r="L60" s="50"/>
    </row>
    <row r="61" spans="1:12">
      <c r="A61" s="412">
        <v>14</v>
      </c>
      <c r="B61" s="447" t="s">
        <v>139</v>
      </c>
      <c r="C61" s="6">
        <v>2214</v>
      </c>
      <c r="D61" s="100">
        <v>2.2999999999999998</v>
      </c>
      <c r="E61" s="100"/>
      <c r="F61" s="100"/>
      <c r="G61" s="102"/>
      <c r="H61" s="100"/>
      <c r="I61" s="102"/>
      <c r="J61" s="424" t="s">
        <v>254</v>
      </c>
    </row>
    <row r="62" spans="1:12">
      <c r="A62" s="412"/>
      <c r="B62" s="447"/>
      <c r="C62" s="6">
        <v>2215</v>
      </c>
      <c r="D62" s="100">
        <v>1</v>
      </c>
      <c r="E62" s="100"/>
      <c r="F62" s="100"/>
      <c r="G62" s="102"/>
      <c r="H62" s="100"/>
      <c r="I62" s="102"/>
      <c r="J62" s="424"/>
    </row>
    <row r="63" spans="1:12" hidden="1">
      <c r="A63" s="412"/>
      <c r="B63" s="447"/>
      <c r="C63" s="6"/>
      <c r="D63" s="100"/>
      <c r="E63" s="100"/>
      <c r="F63" s="100"/>
      <c r="G63" s="102"/>
      <c r="H63" s="100"/>
      <c r="I63" s="102"/>
      <c r="J63" s="424"/>
    </row>
    <row r="64" spans="1:12" hidden="1">
      <c r="A64" s="412"/>
      <c r="B64" s="447"/>
      <c r="C64" s="6"/>
      <c r="D64" s="100"/>
      <c r="E64" s="100"/>
      <c r="F64" s="100"/>
      <c r="G64" s="102"/>
      <c r="H64" s="100"/>
      <c r="I64" s="102"/>
      <c r="J64" s="424"/>
    </row>
    <row r="65" spans="1:13" ht="15.6" hidden="1" customHeight="1">
      <c r="A65" s="412"/>
      <c r="B65" s="447"/>
      <c r="C65" s="6"/>
      <c r="D65" s="100"/>
      <c r="E65" s="100"/>
      <c r="F65" s="100"/>
      <c r="G65" s="102"/>
      <c r="H65" s="100"/>
      <c r="I65" s="102"/>
      <c r="J65" s="162"/>
    </row>
    <row r="66" spans="1:13" hidden="1">
      <c r="A66" s="412"/>
      <c r="B66" s="447"/>
      <c r="C66" s="6"/>
      <c r="D66" s="100"/>
      <c r="E66" s="100"/>
      <c r="F66" s="100"/>
      <c r="G66" s="102"/>
      <c r="H66" s="100"/>
      <c r="I66" s="102"/>
      <c r="J66" s="162"/>
    </row>
    <row r="67" spans="1:13" hidden="1">
      <c r="A67" s="412"/>
      <c r="B67" s="447"/>
      <c r="C67" s="6"/>
      <c r="D67" s="100"/>
      <c r="E67" s="100"/>
      <c r="F67" s="100"/>
      <c r="G67" s="102"/>
      <c r="H67" s="100"/>
      <c r="I67" s="102"/>
      <c r="J67" s="162"/>
    </row>
    <row r="68" spans="1:13" hidden="1">
      <c r="A68" s="412"/>
      <c r="B68" s="447"/>
      <c r="C68" s="6"/>
      <c r="D68" s="100"/>
      <c r="E68" s="100"/>
      <c r="F68" s="100"/>
      <c r="G68" s="102"/>
      <c r="H68" s="100"/>
      <c r="I68" s="102"/>
      <c r="J68" s="7"/>
    </row>
    <row r="69" spans="1:13" hidden="1">
      <c r="A69" s="412"/>
      <c r="B69" s="447" t="s">
        <v>142</v>
      </c>
      <c r="C69" s="6"/>
      <c r="D69" s="100"/>
      <c r="E69" s="100"/>
      <c r="F69" s="100"/>
      <c r="G69" s="102"/>
      <c r="H69" s="100"/>
      <c r="I69" s="102"/>
      <c r="J69" s="7"/>
      <c r="L69" s="50"/>
      <c r="M69" s="122"/>
    </row>
    <row r="70" spans="1:13" hidden="1">
      <c r="A70" s="412"/>
      <c r="B70" s="447"/>
      <c r="C70" s="161"/>
      <c r="D70" s="100"/>
      <c r="E70" s="100"/>
      <c r="F70" s="101"/>
      <c r="G70" s="167"/>
      <c r="H70" s="100"/>
      <c r="I70" s="102"/>
      <c r="J70" s="7"/>
      <c r="L70" s="50"/>
    </row>
    <row r="71" spans="1:13" hidden="1">
      <c r="A71" s="8"/>
      <c r="B71" s="7" t="s">
        <v>21</v>
      </c>
      <c r="C71" s="6"/>
      <c r="D71" s="100"/>
      <c r="E71" s="100"/>
      <c r="F71" s="100"/>
      <c r="G71" s="102"/>
      <c r="H71" s="100"/>
      <c r="I71" s="102"/>
      <c r="J71" s="7"/>
      <c r="K71" s="51"/>
    </row>
    <row r="72" spans="1:13">
      <c r="A72" s="412">
        <v>15</v>
      </c>
      <c r="B72" s="447" t="s">
        <v>22</v>
      </c>
      <c r="C72" s="6">
        <v>2215</v>
      </c>
      <c r="D72" s="100">
        <v>64.400000000000006</v>
      </c>
      <c r="E72" s="100"/>
      <c r="F72" s="100"/>
      <c r="G72" s="102"/>
      <c r="H72" s="100"/>
      <c r="I72" s="102"/>
      <c r="J72" s="424" t="s">
        <v>254</v>
      </c>
    </row>
    <row r="73" spans="1:13">
      <c r="A73" s="412"/>
      <c r="B73" s="447"/>
      <c r="C73" s="6">
        <v>2221</v>
      </c>
      <c r="D73" s="100">
        <v>0.2</v>
      </c>
      <c r="E73" s="100"/>
      <c r="F73" s="100"/>
      <c r="G73" s="102"/>
      <c r="H73" s="100"/>
      <c r="I73" s="102"/>
      <c r="J73" s="424"/>
    </row>
    <row r="74" spans="1:13">
      <c r="A74" s="412"/>
      <c r="B74" s="447"/>
      <c r="C74" s="6">
        <v>3112</v>
      </c>
      <c r="D74" s="100">
        <v>3.7</v>
      </c>
      <c r="E74" s="100"/>
      <c r="F74" s="100"/>
      <c r="G74" s="102"/>
      <c r="H74" s="100"/>
      <c r="I74" s="102"/>
      <c r="J74" s="424"/>
    </row>
    <row r="75" spans="1:13" hidden="1">
      <c r="A75" s="412"/>
      <c r="B75" s="447"/>
      <c r="C75" s="6"/>
      <c r="D75" s="100"/>
      <c r="E75" s="100"/>
      <c r="F75" s="100"/>
      <c r="G75" s="102"/>
      <c r="H75" s="100"/>
      <c r="I75" s="102"/>
      <c r="J75" s="7"/>
    </row>
    <row r="76" spans="1:13" hidden="1">
      <c r="A76" s="412"/>
      <c r="B76" s="447"/>
      <c r="C76" s="6"/>
      <c r="D76" s="100"/>
      <c r="E76" s="100"/>
      <c r="F76" s="100"/>
      <c r="G76" s="102"/>
      <c r="H76" s="100"/>
      <c r="I76" s="102"/>
      <c r="J76" s="7"/>
    </row>
    <row r="77" spans="1:13" hidden="1">
      <c r="A77" s="412"/>
      <c r="B77" s="447"/>
      <c r="C77" s="6"/>
      <c r="D77" s="100"/>
      <c r="E77" s="100"/>
      <c r="F77" s="100"/>
      <c r="G77" s="102"/>
      <c r="H77" s="100"/>
      <c r="I77" s="102"/>
      <c r="J77" s="7"/>
    </row>
    <row r="78" spans="1:13" hidden="1">
      <c r="A78" s="412"/>
      <c r="B78" s="447"/>
      <c r="C78" s="6"/>
      <c r="D78" s="100"/>
      <c r="E78" s="100"/>
      <c r="F78" s="100"/>
      <c r="G78" s="102"/>
      <c r="H78" s="100"/>
      <c r="I78" s="102"/>
      <c r="J78" s="7"/>
    </row>
    <row r="79" spans="1:13" hidden="1">
      <c r="A79" s="412"/>
      <c r="B79" s="447"/>
      <c r="C79" s="6"/>
      <c r="D79" s="100"/>
      <c r="E79" s="100"/>
      <c r="F79" s="100"/>
      <c r="G79" s="102"/>
      <c r="H79" s="100"/>
      <c r="I79" s="102"/>
      <c r="J79" s="7"/>
      <c r="K79" s="51"/>
      <c r="L79" s="51"/>
      <c r="M79" s="122"/>
    </row>
    <row r="80" spans="1:13">
      <c r="A80" s="412">
        <v>16</v>
      </c>
      <c r="B80" s="447" t="s">
        <v>146</v>
      </c>
      <c r="C80" s="6">
        <v>2215</v>
      </c>
      <c r="D80" s="100">
        <v>15</v>
      </c>
      <c r="E80" s="100"/>
      <c r="F80" s="100"/>
      <c r="G80" s="102"/>
      <c r="H80" s="100"/>
      <c r="I80" s="102"/>
      <c r="J80" s="424" t="s">
        <v>254</v>
      </c>
    </row>
    <row r="81" spans="1:13">
      <c r="A81" s="412"/>
      <c r="B81" s="447"/>
      <c r="C81" s="6">
        <v>2221</v>
      </c>
      <c r="D81" s="100">
        <v>0.2</v>
      </c>
      <c r="E81" s="100"/>
      <c r="F81" s="100"/>
      <c r="G81" s="102"/>
      <c r="H81" s="100"/>
      <c r="I81" s="102"/>
      <c r="J81" s="424"/>
    </row>
    <row r="82" spans="1:13">
      <c r="A82" s="412"/>
      <c r="B82" s="447"/>
      <c r="C82" s="6">
        <v>2222</v>
      </c>
      <c r="D82" s="100">
        <v>2.1</v>
      </c>
      <c r="E82" s="100"/>
      <c r="F82" s="100"/>
      <c r="G82" s="102"/>
      <c r="H82" s="100"/>
      <c r="I82" s="102"/>
      <c r="J82" s="424"/>
    </row>
    <row r="83" spans="1:13">
      <c r="A83" s="412"/>
      <c r="B83" s="447"/>
      <c r="C83" s="6">
        <v>2214</v>
      </c>
      <c r="D83" s="100">
        <v>0.4</v>
      </c>
      <c r="E83" s="100"/>
      <c r="F83" s="100"/>
      <c r="G83" s="102"/>
      <c r="H83" s="100"/>
      <c r="I83" s="102"/>
      <c r="J83" s="424"/>
    </row>
    <row r="84" spans="1:13">
      <c r="A84" s="412"/>
      <c r="B84" s="447"/>
      <c r="C84" s="6">
        <v>2218</v>
      </c>
      <c r="D84" s="100">
        <v>85.3</v>
      </c>
      <c r="E84" s="100"/>
      <c r="F84" s="100"/>
      <c r="G84" s="102"/>
      <c r="H84" s="100"/>
      <c r="I84" s="102"/>
      <c r="J84" s="424"/>
    </row>
    <row r="85" spans="1:13" hidden="1">
      <c r="A85" s="412"/>
      <c r="B85" s="447"/>
      <c r="C85" s="6"/>
      <c r="D85" s="100"/>
      <c r="E85" s="100"/>
      <c r="F85" s="100"/>
      <c r="G85" s="102"/>
      <c r="H85" s="100"/>
      <c r="I85" s="102"/>
      <c r="J85" s="7"/>
    </row>
    <row r="86" spans="1:13" hidden="1">
      <c r="A86" s="412"/>
      <c r="B86" s="447"/>
      <c r="C86" s="6"/>
      <c r="D86" s="100"/>
      <c r="E86" s="100"/>
      <c r="F86" s="100"/>
      <c r="G86" s="102"/>
      <c r="H86" s="100"/>
      <c r="I86" s="102"/>
      <c r="J86" s="7"/>
    </row>
    <row r="87" spans="1:13" hidden="1">
      <c r="A87" s="412"/>
      <c r="B87" s="447"/>
      <c r="C87" s="6"/>
      <c r="D87" s="100"/>
      <c r="E87" s="100"/>
      <c r="F87" s="100"/>
      <c r="G87" s="102"/>
      <c r="H87" s="100"/>
      <c r="I87" s="102"/>
      <c r="J87" s="7"/>
    </row>
    <row r="88" spans="1:13" hidden="1">
      <c r="A88" s="412"/>
      <c r="B88" s="447"/>
      <c r="C88" s="6"/>
      <c r="D88" s="100"/>
      <c r="E88" s="100"/>
      <c r="F88" s="100"/>
      <c r="G88" s="102"/>
      <c r="H88" s="100"/>
      <c r="I88" s="102"/>
      <c r="J88" s="7"/>
    </row>
    <row r="89" spans="1:13" hidden="1">
      <c r="A89" s="412"/>
      <c r="B89" s="447"/>
      <c r="C89" s="6"/>
      <c r="D89" s="100"/>
      <c r="E89" s="100"/>
      <c r="F89" s="100"/>
      <c r="G89" s="102"/>
      <c r="H89" s="100"/>
      <c r="I89" s="102"/>
      <c r="J89" s="7"/>
    </row>
    <row r="90" spans="1:13" hidden="1">
      <c r="A90" s="412"/>
      <c r="B90" s="447"/>
      <c r="C90" s="6"/>
      <c r="D90" s="100"/>
      <c r="E90" s="100"/>
      <c r="F90" s="100"/>
      <c r="G90" s="102"/>
      <c r="H90" s="100"/>
      <c r="I90" s="102"/>
      <c r="J90" s="7"/>
    </row>
    <row r="91" spans="1:13" hidden="1">
      <c r="A91" s="412"/>
      <c r="B91" s="447"/>
      <c r="C91" s="6"/>
      <c r="D91" s="100"/>
      <c r="E91" s="100"/>
      <c r="F91" s="100"/>
      <c r="G91" s="102"/>
      <c r="H91" s="100"/>
      <c r="I91" s="102"/>
      <c r="J91" s="7"/>
      <c r="K91" s="51"/>
      <c r="L91" s="51"/>
      <c r="M91" s="122"/>
    </row>
    <row r="92" spans="1:13" ht="25.5">
      <c r="A92" s="412">
        <v>17</v>
      </c>
      <c r="B92" s="447" t="s">
        <v>147</v>
      </c>
      <c r="C92" s="6">
        <v>2215</v>
      </c>
      <c r="D92" s="100">
        <v>1.5</v>
      </c>
      <c r="E92" s="100"/>
      <c r="F92" s="100"/>
      <c r="G92" s="102"/>
      <c r="H92" s="100"/>
      <c r="I92" s="102"/>
      <c r="J92" s="7" t="s">
        <v>254</v>
      </c>
      <c r="K92" s="51"/>
      <c r="L92" s="51"/>
      <c r="M92" s="122"/>
    </row>
    <row r="93" spans="1:13" hidden="1">
      <c r="A93" s="412"/>
      <c r="B93" s="447"/>
      <c r="C93" s="6"/>
      <c r="D93" s="100"/>
      <c r="E93" s="100"/>
      <c r="F93" s="100"/>
      <c r="G93" s="102"/>
      <c r="H93" s="100"/>
      <c r="I93" s="102"/>
      <c r="J93" s="7"/>
      <c r="K93" s="51"/>
      <c r="L93" s="51"/>
      <c r="M93" s="122"/>
    </row>
    <row r="94" spans="1:13" hidden="1">
      <c r="A94" s="412"/>
      <c r="B94" s="447"/>
      <c r="C94" s="6"/>
      <c r="D94" s="100"/>
      <c r="E94" s="100"/>
      <c r="F94" s="100"/>
      <c r="G94" s="102"/>
      <c r="H94" s="100"/>
      <c r="I94" s="102"/>
      <c r="J94" s="7"/>
      <c r="K94" s="51"/>
      <c r="L94" s="51"/>
    </row>
    <row r="95" spans="1:13" ht="25.5">
      <c r="A95" s="244">
        <v>18</v>
      </c>
      <c r="B95" s="7" t="s">
        <v>237</v>
      </c>
      <c r="C95" s="6">
        <v>2222</v>
      </c>
      <c r="D95" s="100">
        <v>3.2</v>
      </c>
      <c r="E95" s="100"/>
      <c r="F95" s="100"/>
      <c r="G95" s="102"/>
      <c r="H95" s="100"/>
      <c r="I95" s="102"/>
      <c r="J95" s="7" t="s">
        <v>254</v>
      </c>
      <c r="K95" s="51"/>
      <c r="L95" s="51"/>
    </row>
    <row r="96" spans="1:13">
      <c r="A96" s="450">
        <v>19</v>
      </c>
      <c r="B96" s="448" t="s">
        <v>115</v>
      </c>
      <c r="C96" s="124">
        <v>2111</v>
      </c>
      <c r="D96" s="125"/>
      <c r="E96" s="125">
        <v>214.1</v>
      </c>
      <c r="F96" s="125"/>
      <c r="G96" s="159"/>
      <c r="H96" s="125"/>
      <c r="I96" s="159"/>
      <c r="J96" s="430" t="s">
        <v>259</v>
      </c>
      <c r="K96" s="51"/>
      <c r="L96" s="51"/>
      <c r="M96" s="122"/>
    </row>
    <row r="97" spans="1:13">
      <c r="A97" s="412"/>
      <c r="B97" s="448"/>
      <c r="C97" s="6">
        <v>2121</v>
      </c>
      <c r="D97" s="100"/>
      <c r="E97" s="100">
        <v>29.7</v>
      </c>
      <c r="F97" s="100"/>
      <c r="G97" s="100"/>
      <c r="H97" s="100"/>
      <c r="I97" s="100"/>
      <c r="J97" s="424"/>
      <c r="K97" s="51"/>
      <c r="L97" s="51"/>
      <c r="M97" s="122"/>
    </row>
    <row r="98" spans="1:13">
      <c r="A98" s="412"/>
      <c r="B98" s="449"/>
      <c r="C98" s="6">
        <v>2215</v>
      </c>
      <c r="D98" s="100"/>
      <c r="E98" s="100">
        <v>5.5</v>
      </c>
      <c r="F98" s="100"/>
      <c r="G98" s="101"/>
      <c r="H98" s="100"/>
      <c r="I98" s="101"/>
      <c r="J98" s="7" t="s">
        <v>258</v>
      </c>
      <c r="K98" s="51"/>
      <c r="L98" s="51"/>
      <c r="M98" s="122"/>
    </row>
    <row r="99" spans="1:13">
      <c r="A99" s="161">
        <v>20</v>
      </c>
      <c r="B99" s="8" t="s">
        <v>23</v>
      </c>
      <c r="C99" s="6">
        <v>2215</v>
      </c>
      <c r="D99" s="100"/>
      <c r="E99" s="100">
        <v>8.4</v>
      </c>
      <c r="F99" s="100"/>
      <c r="G99" s="101"/>
      <c r="H99" s="100"/>
      <c r="I99" s="101"/>
      <c r="J99" s="7" t="s">
        <v>258</v>
      </c>
      <c r="K99" s="51"/>
      <c r="L99" s="51"/>
      <c r="M99" s="122"/>
    </row>
    <row r="100" spans="1:13">
      <c r="A100" s="161">
        <v>21</v>
      </c>
      <c r="B100" s="8" t="s">
        <v>126</v>
      </c>
      <c r="C100" s="6">
        <v>2215</v>
      </c>
      <c r="D100" s="100"/>
      <c r="E100" s="100">
        <v>8.4</v>
      </c>
      <c r="F100" s="100"/>
      <c r="G100" s="101"/>
      <c r="H100" s="100"/>
      <c r="I100" s="101"/>
      <c r="J100" s="7" t="s">
        <v>258</v>
      </c>
      <c r="K100" s="51"/>
      <c r="L100" s="51"/>
      <c r="M100" s="122"/>
    </row>
    <row r="101" spans="1:13">
      <c r="A101" s="161">
        <v>22</v>
      </c>
      <c r="B101" s="8" t="s">
        <v>19</v>
      </c>
      <c r="C101" s="6">
        <v>2215</v>
      </c>
      <c r="D101" s="100"/>
      <c r="E101" s="100">
        <v>7.5</v>
      </c>
      <c r="F101" s="100"/>
      <c r="G101" s="101"/>
      <c r="H101" s="100"/>
      <c r="I101" s="101"/>
      <c r="J101" s="7" t="s">
        <v>258</v>
      </c>
      <c r="K101" s="51"/>
      <c r="L101" s="51"/>
      <c r="M101" s="122"/>
    </row>
    <row r="102" spans="1:13">
      <c r="A102" s="412">
        <v>23</v>
      </c>
      <c r="B102" s="454" t="s">
        <v>123</v>
      </c>
      <c r="C102" s="6">
        <v>2111</v>
      </c>
      <c r="D102" s="100"/>
      <c r="E102" s="100">
        <v>145.30000000000001</v>
      </c>
      <c r="F102" s="100"/>
      <c r="G102" s="100"/>
      <c r="H102" s="100"/>
      <c r="I102" s="101"/>
      <c r="J102" s="424" t="s">
        <v>253</v>
      </c>
      <c r="K102" s="51"/>
      <c r="L102" s="51"/>
      <c r="M102" s="122"/>
    </row>
    <row r="103" spans="1:13">
      <c r="A103" s="412"/>
      <c r="B103" s="448"/>
      <c r="C103" s="6">
        <v>2121</v>
      </c>
      <c r="D103" s="100"/>
      <c r="E103" s="100">
        <v>21.7</v>
      </c>
      <c r="F103" s="100"/>
      <c r="G103" s="100"/>
      <c r="H103" s="100"/>
      <c r="I103" s="101"/>
      <c r="J103" s="424"/>
      <c r="K103" s="51"/>
      <c r="L103" s="51"/>
      <c r="M103" s="122"/>
    </row>
    <row r="104" spans="1:13">
      <c r="A104" s="412"/>
      <c r="B104" s="448"/>
      <c r="C104" s="6">
        <v>2215</v>
      </c>
      <c r="D104" s="100"/>
      <c r="E104" s="100">
        <v>99</v>
      </c>
      <c r="F104" s="100"/>
      <c r="G104" s="100"/>
      <c r="H104" s="100"/>
      <c r="I104" s="101"/>
      <c r="J104" s="7" t="s">
        <v>251</v>
      </c>
      <c r="K104" s="51"/>
      <c r="L104" s="51"/>
      <c r="M104" s="122"/>
    </row>
    <row r="105" spans="1:13">
      <c r="A105" s="412"/>
      <c r="B105" s="448"/>
      <c r="C105" s="6">
        <v>2222</v>
      </c>
      <c r="D105" s="100"/>
      <c r="E105" s="100">
        <v>27.2</v>
      </c>
      <c r="F105" s="100"/>
      <c r="G105" s="100"/>
      <c r="H105" s="100"/>
      <c r="I105" s="101"/>
      <c r="J105" s="7" t="s">
        <v>255</v>
      </c>
      <c r="K105" s="51"/>
      <c r="L105" s="51"/>
      <c r="M105" s="122"/>
    </row>
    <row r="106" spans="1:13">
      <c r="A106" s="412"/>
      <c r="B106" s="449"/>
      <c r="C106" s="6">
        <v>2222</v>
      </c>
      <c r="D106" s="100"/>
      <c r="E106" s="100">
        <v>15</v>
      </c>
      <c r="F106" s="100"/>
      <c r="G106" s="100"/>
      <c r="H106" s="100"/>
      <c r="I106" s="101"/>
      <c r="J106" s="7" t="s">
        <v>252</v>
      </c>
      <c r="K106" s="51"/>
      <c r="L106" s="51"/>
      <c r="M106" s="122"/>
    </row>
    <row r="107" spans="1:13">
      <c r="A107" s="412">
        <v>24</v>
      </c>
      <c r="B107" s="451" t="s">
        <v>18</v>
      </c>
      <c r="C107" s="6">
        <v>2111</v>
      </c>
      <c r="D107" s="100"/>
      <c r="E107" s="100">
        <v>99.7</v>
      </c>
      <c r="F107" s="100"/>
      <c r="G107" s="102"/>
      <c r="H107" s="100"/>
      <c r="I107" s="102"/>
      <c r="J107" s="424" t="s">
        <v>261</v>
      </c>
      <c r="K107" s="51"/>
      <c r="L107" s="51"/>
      <c r="M107" s="122"/>
    </row>
    <row r="108" spans="1:13">
      <c r="A108" s="412"/>
      <c r="B108" s="453"/>
      <c r="C108" s="6">
        <v>2121</v>
      </c>
      <c r="D108" s="100"/>
      <c r="E108" s="100">
        <v>17.2</v>
      </c>
      <c r="F108" s="100"/>
      <c r="G108" s="102"/>
      <c r="H108" s="100"/>
      <c r="I108" s="102"/>
      <c r="J108" s="424"/>
      <c r="K108" s="51"/>
      <c r="L108" s="51"/>
      <c r="M108" s="122"/>
    </row>
    <row r="109" spans="1:13" ht="25.5">
      <c r="A109" s="412"/>
      <c r="B109" s="453"/>
      <c r="C109" s="6">
        <v>2222</v>
      </c>
      <c r="D109" s="100"/>
      <c r="E109" s="100">
        <v>745</v>
      </c>
      <c r="F109" s="100"/>
      <c r="G109" s="102"/>
      <c r="H109" s="100"/>
      <c r="I109" s="102"/>
      <c r="J109" s="7" t="s">
        <v>243</v>
      </c>
      <c r="K109" s="51"/>
      <c r="L109" s="51"/>
      <c r="M109" s="122"/>
    </row>
    <row r="110" spans="1:13" ht="25.5">
      <c r="A110" s="412"/>
      <c r="B110" s="452"/>
      <c r="C110" s="6">
        <v>3113</v>
      </c>
      <c r="D110" s="100"/>
      <c r="E110" s="100">
        <v>119</v>
      </c>
      <c r="F110" s="100"/>
      <c r="G110" s="102"/>
      <c r="H110" s="100"/>
      <c r="I110" s="102"/>
      <c r="J110" s="7" t="s">
        <v>244</v>
      </c>
      <c r="K110" s="51"/>
      <c r="L110" s="51"/>
      <c r="M110" s="122"/>
    </row>
    <row r="111" spans="1:13">
      <c r="A111" s="161">
        <v>25</v>
      </c>
      <c r="B111" s="7" t="s">
        <v>150</v>
      </c>
      <c r="C111" s="6">
        <v>2511</v>
      </c>
      <c r="D111" s="100"/>
      <c r="E111" s="100">
        <v>2500</v>
      </c>
      <c r="F111" s="100"/>
      <c r="G111" s="102"/>
      <c r="H111" s="100"/>
      <c r="I111" s="102"/>
      <c r="J111" s="162" t="s">
        <v>245</v>
      </c>
      <c r="K111" s="51"/>
      <c r="L111" s="51"/>
      <c r="M111" s="122"/>
    </row>
    <row r="112" spans="1:13">
      <c r="A112" s="161">
        <v>26</v>
      </c>
      <c r="B112" s="8" t="s">
        <v>17</v>
      </c>
      <c r="C112" s="6">
        <v>2222</v>
      </c>
      <c r="D112" s="100"/>
      <c r="E112" s="100">
        <v>150</v>
      </c>
      <c r="F112" s="100"/>
      <c r="G112" s="100"/>
      <c r="H112" s="100"/>
      <c r="I112" s="102"/>
      <c r="J112" s="7" t="s">
        <v>239</v>
      </c>
      <c r="K112" s="51"/>
      <c r="L112" s="51"/>
      <c r="M112" s="122"/>
    </row>
    <row r="113" spans="1:13">
      <c r="A113" s="412">
        <v>27</v>
      </c>
      <c r="B113" s="454" t="s">
        <v>28</v>
      </c>
      <c r="C113" s="6">
        <v>3141</v>
      </c>
      <c r="D113" s="100"/>
      <c r="E113" s="100">
        <v>24000</v>
      </c>
      <c r="F113" s="100"/>
      <c r="G113" s="102"/>
      <c r="H113" s="100"/>
      <c r="I113" s="102"/>
      <c r="J113" s="424" t="s">
        <v>262</v>
      </c>
      <c r="K113" s="51"/>
      <c r="L113" s="51"/>
      <c r="M113" s="122"/>
    </row>
    <row r="114" spans="1:13">
      <c r="A114" s="412"/>
      <c r="B114" s="448"/>
      <c r="C114" s="6">
        <v>2215</v>
      </c>
      <c r="D114" s="100"/>
      <c r="E114" s="100">
        <v>16000</v>
      </c>
      <c r="F114" s="100"/>
      <c r="G114" s="102"/>
      <c r="H114" s="100"/>
      <c r="I114" s="102"/>
      <c r="J114" s="424"/>
      <c r="K114" s="51"/>
      <c r="L114" s="51"/>
      <c r="M114" s="122"/>
    </row>
    <row r="115" spans="1:13" ht="25.5">
      <c r="A115" s="412"/>
      <c r="B115" s="449"/>
      <c r="C115" s="6">
        <v>2215</v>
      </c>
      <c r="D115" s="100"/>
      <c r="E115" s="100">
        <v>100</v>
      </c>
      <c r="F115" s="100"/>
      <c r="G115" s="102"/>
      <c r="H115" s="100"/>
      <c r="I115" s="102"/>
      <c r="J115" s="162" t="s">
        <v>242</v>
      </c>
      <c r="K115" s="51"/>
      <c r="L115" s="51"/>
      <c r="M115" s="122"/>
    </row>
    <row r="116" spans="1:13">
      <c r="A116" s="161">
        <v>28</v>
      </c>
      <c r="B116" s="7" t="s">
        <v>139</v>
      </c>
      <c r="C116" s="6">
        <v>2215</v>
      </c>
      <c r="D116" s="100"/>
      <c r="E116" s="100">
        <v>6</v>
      </c>
      <c r="F116" s="100"/>
      <c r="G116" s="102"/>
      <c r="H116" s="100"/>
      <c r="I116" s="102"/>
      <c r="J116" s="7" t="s">
        <v>258</v>
      </c>
      <c r="K116" s="51"/>
      <c r="L116" s="51"/>
      <c r="M116" s="122"/>
    </row>
    <row r="117" spans="1:13" ht="25.5">
      <c r="A117" s="161">
        <v>29</v>
      </c>
      <c r="B117" s="7" t="s">
        <v>22</v>
      </c>
      <c r="C117" s="6">
        <v>2215</v>
      </c>
      <c r="D117" s="100"/>
      <c r="E117" s="100">
        <v>581</v>
      </c>
      <c r="F117" s="100"/>
      <c r="G117" s="102"/>
      <c r="H117" s="100"/>
      <c r="I117" s="102"/>
      <c r="J117" s="7" t="s">
        <v>238</v>
      </c>
      <c r="K117" s="51"/>
      <c r="L117" s="51"/>
      <c r="M117" s="122"/>
    </row>
    <row r="118" spans="1:13" ht="25.5">
      <c r="A118" s="161">
        <v>30</v>
      </c>
      <c r="B118" s="7" t="s">
        <v>146</v>
      </c>
      <c r="C118" s="6">
        <v>2215</v>
      </c>
      <c r="D118" s="100"/>
      <c r="E118" s="100">
        <v>675.8</v>
      </c>
      <c r="F118" s="100"/>
      <c r="G118" s="102"/>
      <c r="H118" s="100"/>
      <c r="I118" s="102"/>
      <c r="J118" s="7" t="s">
        <v>238</v>
      </c>
      <c r="K118" s="51"/>
      <c r="L118" s="51"/>
      <c r="M118" s="122"/>
    </row>
    <row r="119" spans="1:13">
      <c r="A119" s="412">
        <v>31</v>
      </c>
      <c r="B119" s="451" t="s">
        <v>237</v>
      </c>
      <c r="C119" s="6">
        <v>2212</v>
      </c>
      <c r="D119" s="100"/>
      <c r="E119" s="100">
        <v>12</v>
      </c>
      <c r="F119" s="100"/>
      <c r="G119" s="102"/>
      <c r="H119" s="100"/>
      <c r="I119" s="102"/>
      <c r="J119" s="7" t="s">
        <v>264</v>
      </c>
      <c r="K119" s="51"/>
      <c r="L119" s="51"/>
      <c r="M119" s="122"/>
    </row>
    <row r="120" spans="1:13">
      <c r="A120" s="412"/>
      <c r="B120" s="453"/>
      <c r="C120" s="6">
        <v>2215</v>
      </c>
      <c r="D120" s="100"/>
      <c r="E120" s="100">
        <v>6.4</v>
      </c>
      <c r="F120" s="100"/>
      <c r="G120" s="102"/>
      <c r="H120" s="100"/>
      <c r="I120" s="102"/>
      <c r="J120" s="7" t="s">
        <v>258</v>
      </c>
      <c r="K120" s="51"/>
      <c r="L120" s="51"/>
      <c r="M120" s="122"/>
    </row>
    <row r="121" spans="1:13" ht="25.5">
      <c r="A121" s="412"/>
      <c r="B121" s="453"/>
      <c r="C121" s="6">
        <v>2215</v>
      </c>
      <c r="D121" s="100"/>
      <c r="E121" s="100">
        <v>120</v>
      </c>
      <c r="F121" s="100"/>
      <c r="G121" s="102"/>
      <c r="H121" s="100"/>
      <c r="I121" s="102"/>
      <c r="J121" s="7" t="s">
        <v>265</v>
      </c>
      <c r="K121" s="51"/>
      <c r="L121" s="51"/>
      <c r="M121" s="122"/>
    </row>
    <row r="122" spans="1:13">
      <c r="A122" s="412"/>
      <c r="B122" s="453"/>
      <c r="C122" s="6">
        <v>2215</v>
      </c>
      <c r="D122" s="100"/>
      <c r="E122" s="100">
        <v>5</v>
      </c>
      <c r="F122" s="100"/>
      <c r="G122" s="102"/>
      <c r="H122" s="100"/>
      <c r="I122" s="102"/>
      <c r="J122" s="7" t="s">
        <v>266</v>
      </c>
      <c r="K122" s="51"/>
      <c r="L122" s="51"/>
      <c r="M122" s="122"/>
    </row>
    <row r="123" spans="1:13">
      <c r="A123" s="412"/>
      <c r="B123" s="453"/>
      <c r="C123" s="6">
        <v>2222</v>
      </c>
      <c r="D123" s="100"/>
      <c r="E123" s="100">
        <v>72</v>
      </c>
      <c r="F123" s="100"/>
      <c r="G123" s="102"/>
      <c r="H123" s="100"/>
      <c r="I123" s="102"/>
      <c r="J123" s="7" t="s">
        <v>267</v>
      </c>
      <c r="K123" s="51"/>
      <c r="L123" s="51"/>
      <c r="M123" s="122"/>
    </row>
    <row r="124" spans="1:13">
      <c r="A124" s="412"/>
      <c r="B124" s="453"/>
      <c r="C124" s="6">
        <v>2222</v>
      </c>
      <c r="D124" s="100"/>
      <c r="E124" s="100">
        <v>9</v>
      </c>
      <c r="F124" s="100"/>
      <c r="G124" s="102"/>
      <c r="H124" s="100"/>
      <c r="I124" s="102"/>
      <c r="J124" s="7" t="s">
        <v>268</v>
      </c>
      <c r="K124" s="51"/>
      <c r="L124" s="51"/>
      <c r="M124" s="122"/>
    </row>
    <row r="125" spans="1:13" ht="25.5">
      <c r="A125" s="412"/>
      <c r="B125" s="453"/>
      <c r="C125" s="6">
        <v>2222</v>
      </c>
      <c r="D125" s="100"/>
      <c r="E125" s="100">
        <v>19.2</v>
      </c>
      <c r="F125" s="100"/>
      <c r="G125" s="102"/>
      <c r="H125" s="100"/>
      <c r="I125" s="102"/>
      <c r="J125" s="7" t="s">
        <v>269</v>
      </c>
      <c r="K125" s="51"/>
      <c r="L125" s="51"/>
      <c r="M125" s="122"/>
    </row>
    <row r="126" spans="1:13" ht="25.5">
      <c r="A126" s="412"/>
      <c r="B126" s="453"/>
      <c r="C126" s="6">
        <v>2222</v>
      </c>
      <c r="D126" s="100"/>
      <c r="E126" s="100">
        <v>19.5</v>
      </c>
      <c r="F126" s="100"/>
      <c r="G126" s="102"/>
      <c r="H126" s="100"/>
      <c r="I126" s="102"/>
      <c r="J126" s="7" t="s">
        <v>270</v>
      </c>
      <c r="K126" s="51"/>
      <c r="L126" s="51"/>
      <c r="M126" s="122"/>
    </row>
    <row r="127" spans="1:13">
      <c r="A127" s="412"/>
      <c r="B127" s="452"/>
      <c r="C127" s="6">
        <v>3112</v>
      </c>
      <c r="D127" s="100"/>
      <c r="E127" s="100">
        <v>53</v>
      </c>
      <c r="F127" s="100"/>
      <c r="G127" s="102"/>
      <c r="H127" s="100"/>
      <c r="I127" s="102"/>
      <c r="J127" s="7" t="s">
        <v>246</v>
      </c>
      <c r="K127" s="51"/>
      <c r="L127" s="51"/>
      <c r="M127" s="122"/>
    </row>
    <row r="128" spans="1:13">
      <c r="A128" s="412">
        <v>32</v>
      </c>
      <c r="B128" s="451" t="s">
        <v>20</v>
      </c>
      <c r="C128" s="6">
        <v>2215</v>
      </c>
      <c r="D128" s="100"/>
      <c r="E128" s="100">
        <v>5.2</v>
      </c>
      <c r="F128" s="100"/>
      <c r="G128" s="102"/>
      <c r="H128" s="100"/>
      <c r="I128" s="102"/>
      <c r="J128" s="7" t="s">
        <v>258</v>
      </c>
      <c r="K128" s="51"/>
      <c r="L128" s="51"/>
      <c r="M128" s="122"/>
    </row>
    <row r="129" spans="1:13">
      <c r="A129" s="412"/>
      <c r="B129" s="452"/>
      <c r="C129" s="6">
        <v>2231</v>
      </c>
      <c r="D129" s="100"/>
      <c r="E129" s="100">
        <v>5</v>
      </c>
      <c r="F129" s="100"/>
      <c r="G129" s="102"/>
      <c r="H129" s="100"/>
      <c r="I129" s="102"/>
      <c r="J129" s="7" t="s">
        <v>241</v>
      </c>
      <c r="K129" s="51"/>
      <c r="L129" s="51"/>
      <c r="M129" s="122"/>
    </row>
    <row r="130" spans="1:13" ht="25.5">
      <c r="A130" s="164">
        <v>33</v>
      </c>
      <c r="B130" s="146" t="s">
        <v>16</v>
      </c>
      <c r="C130" s="6"/>
      <c r="D130" s="100"/>
      <c r="E130" s="100">
        <v>5129.3</v>
      </c>
      <c r="F130" s="100"/>
      <c r="G130" s="102"/>
      <c r="H130" s="100"/>
      <c r="I130" s="102"/>
      <c r="J130" s="7" t="s">
        <v>271</v>
      </c>
      <c r="K130" s="51"/>
      <c r="L130" s="51"/>
      <c r="M130" s="122"/>
    </row>
    <row r="131" spans="1:13" ht="25.5">
      <c r="A131" s="8">
        <v>34</v>
      </c>
      <c r="B131" s="245" t="s">
        <v>272</v>
      </c>
      <c r="C131" s="6"/>
      <c r="D131" s="100">
        <v>40000</v>
      </c>
      <c r="E131" s="100"/>
      <c r="F131" s="100"/>
      <c r="G131" s="100"/>
      <c r="H131" s="100"/>
      <c r="I131" s="102"/>
      <c r="J131" s="7" t="s">
        <v>250</v>
      </c>
      <c r="M131" s="122"/>
    </row>
    <row r="132" spans="1:13">
      <c r="A132" s="8"/>
      <c r="B132" s="7"/>
      <c r="C132" s="6"/>
      <c r="D132" s="100"/>
      <c r="E132" s="100"/>
      <c r="F132" s="100"/>
      <c r="G132" s="100"/>
      <c r="H132" s="100"/>
      <c r="I132" s="102"/>
      <c r="J132" s="7"/>
      <c r="M132" s="122"/>
    </row>
    <row r="133" spans="1:13">
      <c r="A133" s="161"/>
      <c r="B133" s="8"/>
      <c r="C133" s="6"/>
      <c r="D133" s="99">
        <f>SUM(D10:D132)</f>
        <v>51031.1</v>
      </c>
      <c r="E133" s="99">
        <f>SUM(E10:E132)</f>
        <v>51031.1</v>
      </c>
      <c r="F133" s="99">
        <f>SUM(F10:F131)</f>
        <v>0</v>
      </c>
      <c r="G133" s="99">
        <f>SUM(G10:G131)</f>
        <v>0</v>
      </c>
      <c r="H133" s="99">
        <f>SUM(H10:H131)</f>
        <v>0</v>
      </c>
      <c r="I133" s="99">
        <f>SUM(I10:I131)</f>
        <v>0</v>
      </c>
      <c r="J133" s="7"/>
      <c r="K133" s="51"/>
      <c r="L133" s="51"/>
      <c r="M133" s="155"/>
    </row>
    <row r="134" spans="1:13">
      <c r="A134" s="53"/>
      <c r="B134" s="42"/>
      <c r="C134" s="34"/>
      <c r="D134" s="103"/>
      <c r="E134" s="51"/>
      <c r="M134" s="48"/>
    </row>
    <row r="135" spans="1:13">
      <c r="A135" s="53"/>
      <c r="B135" s="42"/>
      <c r="C135" s="34"/>
      <c r="D135" s="103"/>
      <c r="M135" s="48"/>
    </row>
    <row r="136" spans="1:13">
      <c r="A136" s="53"/>
      <c r="B136" s="42"/>
      <c r="C136" s="34"/>
      <c r="D136" s="43"/>
      <c r="M136" s="48"/>
    </row>
    <row r="137" spans="1:13">
      <c r="A137" s="53"/>
      <c r="B137" s="42"/>
      <c r="C137" s="34"/>
      <c r="D137" s="43"/>
      <c r="M137" s="48"/>
    </row>
    <row r="138" spans="1:13">
      <c r="M138" s="48"/>
    </row>
    <row r="139" spans="1:13">
      <c r="B139" s="46"/>
      <c r="M139" s="48"/>
    </row>
    <row r="140" spans="1:13">
      <c r="M140" s="48"/>
    </row>
    <row r="141" spans="1:13">
      <c r="A141" s="34"/>
      <c r="B141" s="53"/>
      <c r="C141" s="53"/>
      <c r="D141" s="45"/>
      <c r="M141" s="48"/>
    </row>
    <row r="142" spans="1:13">
      <c r="A142" s="163"/>
      <c r="B142" s="163"/>
      <c r="C142" s="163"/>
      <c r="D142" s="163"/>
      <c r="M142" s="48"/>
    </row>
    <row r="143" spans="1:13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L143" s="51"/>
    </row>
    <row r="144" spans="1:13">
      <c r="A144" s="49"/>
      <c r="B144" s="49"/>
      <c r="C144" s="49"/>
      <c r="D144" s="49"/>
      <c r="E144" s="49"/>
      <c r="F144" s="49"/>
      <c r="G144" s="49"/>
      <c r="H144" s="49"/>
      <c r="I144" s="49"/>
      <c r="J144" s="49"/>
    </row>
    <row r="145" spans="1:10">
      <c r="A145" s="49"/>
      <c r="B145" s="49"/>
      <c r="C145" s="49"/>
      <c r="D145" s="49"/>
      <c r="E145" s="49"/>
      <c r="F145" s="49"/>
      <c r="G145" s="49"/>
      <c r="H145" s="49"/>
      <c r="I145" s="49"/>
      <c r="J145" s="49"/>
    </row>
    <row r="146" spans="1:10">
      <c r="A146" s="49"/>
      <c r="B146" s="49"/>
      <c r="C146" s="49"/>
      <c r="D146" s="49"/>
      <c r="E146" s="49"/>
      <c r="F146" s="49"/>
      <c r="G146" s="49"/>
      <c r="H146" s="49"/>
      <c r="I146" s="49"/>
      <c r="J146" s="49"/>
    </row>
    <row r="147" spans="1:10">
      <c r="A147" s="49"/>
      <c r="B147" s="49"/>
      <c r="C147" s="49"/>
      <c r="D147" s="49"/>
      <c r="E147" s="49"/>
      <c r="F147" s="49"/>
      <c r="G147" s="49"/>
      <c r="H147" s="49"/>
      <c r="I147" s="49"/>
      <c r="J147" s="49"/>
    </row>
    <row r="148" spans="1:10">
      <c r="A148" s="49"/>
      <c r="B148" s="49"/>
      <c r="C148" s="49"/>
      <c r="D148" s="49"/>
      <c r="E148" s="49"/>
      <c r="F148" s="49"/>
      <c r="G148" s="49"/>
      <c r="H148" s="49"/>
      <c r="I148" s="49"/>
      <c r="J148" s="49"/>
    </row>
    <row r="149" spans="1:10">
      <c r="A149" s="49"/>
      <c r="B149" s="49"/>
      <c r="C149" s="49"/>
      <c r="D149" s="49"/>
      <c r="E149" s="49"/>
      <c r="F149" s="49"/>
      <c r="G149" s="49"/>
      <c r="H149" s="49"/>
      <c r="I149" s="49"/>
      <c r="J149" s="49"/>
    </row>
    <row r="150" spans="1:10">
      <c r="A150" s="49"/>
      <c r="B150" s="49"/>
      <c r="C150" s="49"/>
      <c r="D150" s="49"/>
      <c r="E150" s="49"/>
      <c r="F150" s="49"/>
      <c r="G150" s="49"/>
      <c r="H150" s="49"/>
      <c r="I150" s="49"/>
      <c r="J150" s="49"/>
    </row>
    <row r="151" spans="1:10">
      <c r="A151" s="49"/>
      <c r="B151" s="49"/>
      <c r="C151" s="49"/>
      <c r="D151" s="49"/>
      <c r="E151" s="49"/>
      <c r="F151" s="49"/>
      <c r="G151" s="49"/>
      <c r="H151" s="49"/>
      <c r="I151" s="49"/>
      <c r="J151" s="49"/>
    </row>
    <row r="152" spans="1:10">
      <c r="A152" s="49"/>
      <c r="B152" s="49"/>
      <c r="C152" s="49"/>
      <c r="D152" s="49"/>
      <c r="E152" s="49"/>
      <c r="F152" s="49"/>
      <c r="G152" s="49"/>
      <c r="H152" s="49"/>
      <c r="I152" s="49"/>
      <c r="J152" s="49"/>
    </row>
    <row r="153" spans="1:10">
      <c r="A153" s="49"/>
      <c r="B153" s="49"/>
      <c r="C153" s="49"/>
      <c r="D153" s="49"/>
      <c r="E153" s="49"/>
      <c r="F153" s="49"/>
      <c r="G153" s="49"/>
      <c r="H153" s="49"/>
      <c r="I153" s="49"/>
      <c r="J153" s="49"/>
    </row>
    <row r="154" spans="1:10">
      <c r="A154" s="49"/>
      <c r="B154" s="49"/>
      <c r="C154" s="49"/>
      <c r="D154" s="49"/>
      <c r="E154" s="49"/>
      <c r="F154" s="49"/>
      <c r="G154" s="49"/>
      <c r="H154" s="49"/>
      <c r="I154" s="49"/>
      <c r="J154" s="49"/>
    </row>
    <row r="155" spans="1:10">
      <c r="A155" s="49"/>
      <c r="B155" s="49"/>
      <c r="C155" s="49"/>
      <c r="D155" s="49"/>
      <c r="E155" s="49"/>
      <c r="F155" s="49"/>
      <c r="G155" s="49"/>
      <c r="H155" s="49"/>
      <c r="I155" s="49"/>
      <c r="J155" s="49"/>
    </row>
    <row r="156" spans="1:10">
      <c r="A156" s="49"/>
      <c r="B156" s="49"/>
      <c r="C156" s="49"/>
      <c r="D156" s="49"/>
      <c r="E156" s="49"/>
      <c r="F156" s="49"/>
      <c r="G156" s="49"/>
      <c r="H156" s="49"/>
      <c r="I156" s="49"/>
      <c r="J156" s="49"/>
    </row>
    <row r="157" spans="1:10">
      <c r="A157" s="49"/>
      <c r="B157" s="49"/>
      <c r="C157" s="49"/>
      <c r="D157" s="49"/>
      <c r="E157" s="49"/>
      <c r="F157" s="49"/>
      <c r="G157" s="49"/>
      <c r="H157" s="49"/>
      <c r="I157" s="49"/>
      <c r="J157" s="49"/>
    </row>
    <row r="158" spans="1:10">
      <c r="A158" s="49"/>
      <c r="B158" s="49"/>
      <c r="C158" s="49"/>
      <c r="D158" s="49"/>
      <c r="E158" s="49"/>
      <c r="F158" s="49"/>
      <c r="G158" s="49"/>
      <c r="H158" s="49"/>
      <c r="I158" s="49"/>
      <c r="J158" s="49"/>
    </row>
    <row r="159" spans="1:10">
      <c r="A159" s="49"/>
      <c r="B159" s="49"/>
      <c r="C159" s="49"/>
      <c r="D159" s="49"/>
      <c r="E159" s="49"/>
      <c r="F159" s="49"/>
      <c r="G159" s="49"/>
      <c r="H159" s="49"/>
      <c r="I159" s="49"/>
      <c r="J159" s="49"/>
    </row>
    <row r="160" spans="1:10">
      <c r="A160" s="49"/>
      <c r="B160" s="49"/>
      <c r="C160" s="49"/>
      <c r="D160" s="49"/>
      <c r="E160" s="49"/>
      <c r="F160" s="49"/>
      <c r="G160" s="49"/>
      <c r="H160" s="49"/>
      <c r="I160" s="49"/>
      <c r="J160" s="49"/>
    </row>
    <row r="161" spans="1:10">
      <c r="A161" s="49"/>
      <c r="B161" s="49"/>
      <c r="C161" s="49"/>
      <c r="D161" s="49"/>
      <c r="E161" s="49"/>
      <c r="F161" s="49"/>
      <c r="G161" s="49"/>
      <c r="H161" s="49"/>
      <c r="I161" s="49"/>
      <c r="J161" s="49"/>
    </row>
    <row r="162" spans="1:10">
      <c r="A162" s="49"/>
      <c r="B162" s="49"/>
      <c r="C162" s="49"/>
      <c r="D162" s="49"/>
      <c r="E162" s="49"/>
      <c r="F162" s="49"/>
      <c r="G162" s="49"/>
      <c r="H162" s="49"/>
      <c r="I162" s="49"/>
      <c r="J162" s="49"/>
    </row>
    <row r="163" spans="1:10">
      <c r="A163" s="49"/>
      <c r="B163" s="49"/>
      <c r="C163" s="49"/>
      <c r="D163" s="49"/>
      <c r="E163" s="49"/>
      <c r="F163" s="49"/>
      <c r="G163" s="49"/>
      <c r="H163" s="49"/>
      <c r="I163" s="49"/>
      <c r="J163" s="49"/>
    </row>
    <row r="164" spans="1:10">
      <c r="A164" s="49"/>
      <c r="B164" s="49"/>
      <c r="C164" s="49"/>
      <c r="D164" s="49"/>
      <c r="E164" s="49"/>
      <c r="F164" s="49"/>
      <c r="G164" s="49"/>
      <c r="H164" s="49"/>
      <c r="I164" s="49"/>
      <c r="J164" s="49"/>
    </row>
    <row r="165" spans="1:10">
      <c r="A165" s="49"/>
      <c r="B165" s="49"/>
      <c r="C165" s="49"/>
      <c r="D165" s="49"/>
      <c r="E165" s="49"/>
      <c r="F165" s="49"/>
      <c r="G165" s="49"/>
      <c r="H165" s="49"/>
      <c r="I165" s="49"/>
      <c r="J165" s="49"/>
    </row>
    <row r="166" spans="1:10">
      <c r="A166" s="49"/>
      <c r="B166" s="49"/>
      <c r="C166" s="49"/>
      <c r="D166" s="49"/>
      <c r="E166" s="49"/>
      <c r="F166" s="49"/>
      <c r="G166" s="49"/>
      <c r="H166" s="49"/>
      <c r="I166" s="49"/>
      <c r="J166" s="49"/>
    </row>
    <row r="167" spans="1:10">
      <c r="A167" s="49"/>
      <c r="B167" s="49"/>
      <c r="C167" s="49"/>
      <c r="D167" s="49"/>
      <c r="E167" s="49"/>
      <c r="F167" s="49"/>
      <c r="G167" s="49"/>
      <c r="H167" s="49"/>
      <c r="I167" s="49"/>
      <c r="J167" s="49"/>
    </row>
    <row r="168" spans="1:10">
      <c r="A168" s="49"/>
      <c r="B168" s="49"/>
      <c r="C168" s="49"/>
      <c r="D168" s="49"/>
      <c r="E168" s="49"/>
      <c r="F168" s="49"/>
      <c r="G168" s="49"/>
      <c r="H168" s="49"/>
      <c r="I168" s="49"/>
      <c r="J168" s="49"/>
    </row>
    <row r="169" spans="1:10">
      <c r="A169" s="49"/>
      <c r="B169" s="49"/>
      <c r="C169" s="49"/>
      <c r="D169" s="49"/>
      <c r="E169" s="49"/>
      <c r="F169" s="49"/>
      <c r="G169" s="49"/>
      <c r="H169" s="49"/>
      <c r="I169" s="49"/>
      <c r="J169" s="49"/>
    </row>
    <row r="170" spans="1:10">
      <c r="A170" s="49"/>
      <c r="B170" s="49"/>
      <c r="C170" s="49"/>
      <c r="D170" s="49"/>
      <c r="E170" s="49"/>
      <c r="F170" s="49"/>
      <c r="G170" s="49"/>
      <c r="H170" s="49"/>
      <c r="I170" s="49"/>
      <c r="J170" s="49"/>
    </row>
    <row r="171" spans="1:10">
      <c r="A171" s="49"/>
      <c r="B171" s="49"/>
      <c r="C171" s="49"/>
      <c r="D171" s="49"/>
      <c r="E171" s="49"/>
      <c r="F171" s="49"/>
      <c r="G171" s="49"/>
      <c r="H171" s="49"/>
      <c r="I171" s="49"/>
      <c r="J171" s="49"/>
    </row>
    <row r="172" spans="1:10">
      <c r="A172" s="49"/>
      <c r="B172" s="49"/>
      <c r="C172" s="49"/>
      <c r="D172" s="49"/>
      <c r="E172" s="49"/>
      <c r="F172" s="49"/>
      <c r="G172" s="49"/>
      <c r="H172" s="49"/>
      <c r="I172" s="49"/>
      <c r="J172" s="49"/>
    </row>
    <row r="173" spans="1:10">
      <c r="A173" s="49"/>
      <c r="B173" s="49"/>
      <c r="C173" s="49"/>
      <c r="D173" s="49"/>
      <c r="E173" s="49"/>
      <c r="F173" s="49"/>
      <c r="G173" s="49"/>
      <c r="H173" s="49"/>
      <c r="I173" s="49"/>
      <c r="J173" s="49"/>
    </row>
    <row r="174" spans="1:10">
      <c r="A174" s="49"/>
      <c r="B174" s="49"/>
      <c r="C174" s="49"/>
      <c r="D174" s="49"/>
      <c r="E174" s="49"/>
      <c r="F174" s="49"/>
      <c r="G174" s="49"/>
      <c r="H174" s="49"/>
      <c r="I174" s="49"/>
      <c r="J174" s="49"/>
    </row>
    <row r="175" spans="1:10">
      <c r="A175" s="49"/>
      <c r="B175" s="49"/>
      <c r="C175" s="49"/>
      <c r="D175" s="49"/>
      <c r="E175" s="49"/>
      <c r="F175" s="49"/>
      <c r="G175" s="49"/>
      <c r="H175" s="49"/>
      <c r="I175" s="49"/>
      <c r="J175" s="49"/>
    </row>
    <row r="176" spans="1:10">
      <c r="A176" s="49"/>
      <c r="B176" s="49"/>
      <c r="C176" s="49"/>
      <c r="D176" s="49"/>
      <c r="E176" s="49"/>
      <c r="F176" s="49"/>
      <c r="G176" s="49"/>
      <c r="H176" s="49"/>
      <c r="I176" s="49"/>
      <c r="J176" s="49"/>
    </row>
    <row r="177" spans="1:10">
      <c r="A177" s="49"/>
      <c r="B177" s="49"/>
      <c r="C177" s="49"/>
      <c r="D177" s="49"/>
      <c r="E177" s="49"/>
      <c r="F177" s="49"/>
      <c r="G177" s="49"/>
      <c r="H177" s="49"/>
      <c r="I177" s="49"/>
      <c r="J177" s="49"/>
    </row>
    <row r="178" spans="1:10">
      <c r="A178" s="49"/>
      <c r="B178" s="49"/>
      <c r="C178" s="49"/>
      <c r="D178" s="49"/>
      <c r="E178" s="49"/>
      <c r="F178" s="49"/>
      <c r="G178" s="49"/>
      <c r="H178" s="49"/>
      <c r="I178" s="49"/>
      <c r="J178" s="49"/>
    </row>
    <row r="179" spans="1:10">
      <c r="A179" s="49"/>
      <c r="B179" s="49"/>
      <c r="C179" s="49"/>
      <c r="D179" s="49"/>
      <c r="E179" s="49"/>
      <c r="F179" s="49"/>
      <c r="G179" s="49"/>
      <c r="H179" s="49"/>
      <c r="I179" s="49"/>
      <c r="J179" s="49"/>
    </row>
    <row r="180" spans="1:10">
      <c r="A180" s="49"/>
      <c r="B180" s="49"/>
      <c r="C180" s="49"/>
      <c r="D180" s="49"/>
      <c r="E180" s="49"/>
      <c r="F180" s="49"/>
      <c r="G180" s="49"/>
      <c r="H180" s="49"/>
      <c r="I180" s="49"/>
      <c r="J180" s="49"/>
    </row>
    <row r="181" spans="1:10">
      <c r="A181" s="49"/>
      <c r="B181" s="49"/>
      <c r="C181" s="49"/>
      <c r="D181" s="49"/>
      <c r="E181" s="49"/>
      <c r="F181" s="49"/>
      <c r="G181" s="49"/>
      <c r="H181" s="49"/>
      <c r="I181" s="49"/>
      <c r="J181" s="49"/>
    </row>
    <row r="182" spans="1:10">
      <c r="A182" s="49"/>
      <c r="B182" s="49"/>
      <c r="C182" s="49"/>
      <c r="D182" s="49"/>
      <c r="E182" s="49"/>
      <c r="F182" s="49"/>
      <c r="G182" s="49"/>
      <c r="H182" s="49"/>
      <c r="I182" s="49"/>
      <c r="J182" s="49"/>
    </row>
    <row r="183" spans="1:10">
      <c r="A183" s="49"/>
      <c r="B183" s="49"/>
      <c r="C183" s="49"/>
      <c r="D183" s="49"/>
      <c r="E183" s="49"/>
      <c r="F183" s="49"/>
      <c r="G183" s="49"/>
      <c r="H183" s="49"/>
      <c r="I183" s="49"/>
      <c r="J183" s="49"/>
    </row>
    <row r="184" spans="1:10">
      <c r="A184" s="49"/>
      <c r="B184" s="49"/>
      <c r="C184" s="49"/>
      <c r="D184" s="49"/>
      <c r="E184" s="49"/>
      <c r="F184" s="49"/>
      <c r="G184" s="49"/>
      <c r="H184" s="49"/>
      <c r="I184" s="49"/>
      <c r="J184" s="49"/>
    </row>
    <row r="185" spans="1:10">
      <c r="A185" s="49"/>
      <c r="B185" s="49"/>
      <c r="C185" s="49"/>
      <c r="D185" s="49"/>
      <c r="E185" s="49"/>
      <c r="F185" s="49"/>
      <c r="G185" s="49"/>
      <c r="H185" s="49"/>
      <c r="I185" s="49"/>
      <c r="J185" s="49"/>
    </row>
    <row r="186" spans="1:10">
      <c r="A186" s="49"/>
      <c r="B186" s="49"/>
      <c r="C186" s="49"/>
      <c r="D186" s="49"/>
      <c r="E186" s="49"/>
      <c r="F186" s="49"/>
      <c r="G186" s="49"/>
      <c r="H186" s="49"/>
      <c r="I186" s="49"/>
      <c r="J186" s="49"/>
    </row>
    <row r="187" spans="1:10">
      <c r="A187" s="49"/>
      <c r="B187" s="49"/>
      <c r="C187" s="49"/>
      <c r="D187" s="49"/>
      <c r="E187" s="49"/>
      <c r="F187" s="49"/>
      <c r="G187" s="49"/>
      <c r="H187" s="49"/>
      <c r="I187" s="49"/>
      <c r="J187" s="49"/>
    </row>
    <row r="188" spans="1:10">
      <c r="A188" s="49"/>
      <c r="B188" s="49"/>
      <c r="C188" s="49"/>
      <c r="D188" s="49"/>
      <c r="E188" s="49"/>
      <c r="F188" s="49"/>
      <c r="G188" s="49"/>
      <c r="H188" s="49"/>
      <c r="I188" s="49"/>
      <c r="J188" s="49"/>
    </row>
    <row r="189" spans="1:10">
      <c r="A189" s="49"/>
      <c r="B189" s="49"/>
      <c r="C189" s="49"/>
      <c r="D189" s="49"/>
      <c r="E189" s="49"/>
      <c r="F189" s="49"/>
      <c r="G189" s="49"/>
      <c r="H189" s="49"/>
      <c r="I189" s="49"/>
      <c r="J189" s="49"/>
    </row>
    <row r="190" spans="1:10">
      <c r="A190" s="49"/>
      <c r="B190" s="49"/>
      <c r="C190" s="49"/>
      <c r="D190" s="49"/>
      <c r="E190" s="49"/>
      <c r="F190" s="49"/>
      <c r="G190" s="49"/>
      <c r="H190" s="49"/>
      <c r="I190" s="49"/>
      <c r="J190" s="49"/>
    </row>
    <row r="191" spans="1:10">
      <c r="A191" s="49"/>
      <c r="B191" s="49"/>
      <c r="C191" s="49"/>
      <c r="D191" s="49"/>
      <c r="E191" s="49"/>
      <c r="F191" s="49"/>
      <c r="G191" s="49"/>
      <c r="H191" s="49"/>
      <c r="I191" s="49"/>
      <c r="J191" s="49"/>
    </row>
    <row r="192" spans="1:10">
      <c r="A192" s="49"/>
      <c r="B192" s="49"/>
      <c r="C192" s="49"/>
      <c r="D192" s="49"/>
      <c r="E192" s="49"/>
      <c r="F192" s="49"/>
      <c r="G192" s="49"/>
      <c r="H192" s="49"/>
      <c r="I192" s="49"/>
      <c r="J192" s="49"/>
    </row>
    <row r="193" spans="1:10">
      <c r="A193" s="49"/>
      <c r="B193" s="49"/>
      <c r="C193" s="49"/>
      <c r="D193" s="49"/>
      <c r="E193" s="49"/>
      <c r="F193" s="49"/>
      <c r="G193" s="49"/>
      <c r="H193" s="49"/>
      <c r="I193" s="49"/>
      <c r="J193" s="49"/>
    </row>
    <row r="194" spans="1:10">
      <c r="A194" s="49"/>
      <c r="B194" s="49"/>
      <c r="C194" s="49"/>
      <c r="D194" s="49"/>
      <c r="E194" s="49"/>
      <c r="F194" s="49"/>
      <c r="G194" s="49"/>
      <c r="H194" s="49"/>
      <c r="I194" s="49"/>
      <c r="J194" s="49"/>
    </row>
    <row r="195" spans="1:10">
      <c r="A195" s="49"/>
      <c r="B195" s="49"/>
      <c r="C195" s="49"/>
      <c r="D195" s="49"/>
      <c r="E195" s="49"/>
      <c r="F195" s="49"/>
      <c r="G195" s="49"/>
      <c r="H195" s="49"/>
      <c r="I195" s="49"/>
      <c r="J195" s="49"/>
    </row>
    <row r="196" spans="1:10">
      <c r="A196" s="49"/>
      <c r="B196" s="49"/>
      <c r="C196" s="49"/>
      <c r="D196" s="49"/>
      <c r="E196" s="49"/>
      <c r="F196" s="49"/>
      <c r="G196" s="49"/>
      <c r="H196" s="49"/>
      <c r="I196" s="49"/>
      <c r="J196" s="49"/>
    </row>
    <row r="197" spans="1:10">
      <c r="A197" s="49"/>
      <c r="B197" s="49"/>
      <c r="C197" s="49"/>
      <c r="D197" s="49"/>
      <c r="E197" s="49"/>
      <c r="F197" s="49"/>
      <c r="G197" s="49"/>
      <c r="H197" s="49"/>
      <c r="I197" s="49"/>
      <c r="J197" s="49"/>
    </row>
    <row r="198" spans="1:10">
      <c r="A198" s="49"/>
      <c r="B198" s="49"/>
      <c r="C198" s="49"/>
      <c r="D198" s="49"/>
      <c r="E198" s="49"/>
      <c r="F198" s="49"/>
      <c r="G198" s="49"/>
      <c r="H198" s="49"/>
      <c r="I198" s="49"/>
      <c r="J198" s="49"/>
    </row>
    <row r="199" spans="1:10">
      <c r="A199" s="49"/>
      <c r="B199" s="49"/>
      <c r="C199" s="49"/>
      <c r="D199" s="49"/>
      <c r="E199" s="49"/>
      <c r="F199" s="49"/>
      <c r="G199" s="49"/>
      <c r="H199" s="49"/>
      <c r="I199" s="49"/>
      <c r="J199" s="49"/>
    </row>
    <row r="200" spans="1:10">
      <c r="A200" s="49"/>
      <c r="B200" s="49"/>
      <c r="C200" s="49"/>
      <c r="D200" s="49"/>
      <c r="E200" s="49"/>
      <c r="F200" s="49"/>
      <c r="G200" s="49"/>
      <c r="H200" s="49"/>
      <c r="I200" s="49"/>
      <c r="J200" s="49"/>
    </row>
    <row r="201" spans="1:10">
      <c r="A201" s="49"/>
      <c r="B201" s="49"/>
      <c r="C201" s="49"/>
      <c r="D201" s="49"/>
      <c r="E201" s="49"/>
      <c r="F201" s="49"/>
      <c r="G201" s="49"/>
      <c r="H201" s="49"/>
      <c r="I201" s="49"/>
      <c r="J201" s="49"/>
    </row>
    <row r="202" spans="1:10">
      <c r="A202" s="49"/>
      <c r="B202" s="49"/>
      <c r="C202" s="49"/>
      <c r="D202" s="49"/>
      <c r="E202" s="49"/>
      <c r="F202" s="49"/>
      <c r="G202" s="49"/>
      <c r="H202" s="49"/>
      <c r="I202" s="49"/>
      <c r="J202" s="49"/>
    </row>
    <row r="203" spans="1:10">
      <c r="A203" s="49"/>
      <c r="B203" s="49"/>
      <c r="C203" s="49"/>
      <c r="D203" s="49"/>
      <c r="E203" s="49"/>
      <c r="F203" s="49"/>
      <c r="G203" s="49"/>
      <c r="H203" s="49"/>
      <c r="I203" s="49"/>
      <c r="J203" s="49"/>
    </row>
    <row r="204" spans="1:10">
      <c r="A204" s="49"/>
      <c r="B204" s="49"/>
      <c r="C204" s="49"/>
      <c r="D204" s="49"/>
      <c r="E204" s="49"/>
      <c r="F204" s="49"/>
      <c r="G204" s="49"/>
      <c r="H204" s="49"/>
      <c r="I204" s="49"/>
      <c r="J204" s="49"/>
    </row>
    <row r="205" spans="1:10">
      <c r="A205" s="49"/>
      <c r="B205" s="49"/>
      <c r="C205" s="49"/>
      <c r="D205" s="49"/>
      <c r="E205" s="49"/>
      <c r="F205" s="49"/>
      <c r="G205" s="49"/>
      <c r="H205" s="49"/>
      <c r="I205" s="49"/>
      <c r="J205" s="49"/>
    </row>
    <row r="206" spans="1:10">
      <c r="A206" s="49"/>
      <c r="B206" s="49"/>
      <c r="C206" s="49"/>
      <c r="D206" s="49"/>
      <c r="E206" s="49"/>
      <c r="F206" s="49"/>
      <c r="G206" s="49"/>
      <c r="H206" s="49"/>
      <c r="I206" s="49"/>
      <c r="J206" s="49"/>
    </row>
    <row r="207" spans="1:10">
      <c r="A207" s="49"/>
      <c r="B207" s="49"/>
      <c r="C207" s="49"/>
      <c r="D207" s="49"/>
      <c r="E207" s="49"/>
      <c r="F207" s="49"/>
      <c r="G207" s="49"/>
      <c r="H207" s="49"/>
      <c r="I207" s="49"/>
      <c r="J207" s="49"/>
    </row>
    <row r="208" spans="1:10">
      <c r="A208" s="49"/>
      <c r="B208" s="49"/>
      <c r="C208" s="49"/>
      <c r="D208" s="49"/>
      <c r="E208" s="49"/>
      <c r="F208" s="49"/>
      <c r="G208" s="49"/>
      <c r="H208" s="49"/>
      <c r="I208" s="49"/>
      <c r="J208" s="49"/>
    </row>
    <row r="209" spans="1:10">
      <c r="A209" s="49"/>
      <c r="B209" s="49"/>
      <c r="C209" s="49"/>
      <c r="D209" s="49"/>
      <c r="E209" s="49"/>
      <c r="F209" s="49"/>
      <c r="G209" s="49"/>
      <c r="H209" s="49"/>
      <c r="I209" s="49"/>
      <c r="J209" s="49"/>
    </row>
    <row r="210" spans="1:10">
      <c r="A210" s="49"/>
      <c r="B210" s="49"/>
      <c r="C210" s="49"/>
      <c r="D210" s="49"/>
      <c r="E210" s="49"/>
      <c r="F210" s="49"/>
      <c r="G210" s="49"/>
      <c r="H210" s="49"/>
      <c r="I210" s="49"/>
      <c r="J210" s="49"/>
    </row>
    <row r="211" spans="1:10">
      <c r="A211" s="49"/>
      <c r="B211" s="49"/>
      <c r="C211" s="49"/>
      <c r="D211" s="49"/>
      <c r="E211" s="49"/>
      <c r="F211" s="49"/>
      <c r="G211" s="49"/>
      <c r="H211" s="49"/>
      <c r="I211" s="49"/>
      <c r="J211" s="49"/>
    </row>
    <row r="212" spans="1:10">
      <c r="A212" s="49"/>
      <c r="B212" s="49"/>
      <c r="C212" s="49"/>
      <c r="D212" s="49"/>
      <c r="E212" s="49"/>
      <c r="F212" s="49"/>
      <c r="G212" s="49"/>
      <c r="H212" s="49"/>
      <c r="I212" s="49"/>
      <c r="J212" s="49"/>
    </row>
    <row r="213" spans="1:10">
      <c r="A213" s="49"/>
      <c r="B213" s="49"/>
      <c r="C213" s="49"/>
      <c r="D213" s="49"/>
      <c r="E213" s="49"/>
      <c r="F213" s="49"/>
      <c r="G213" s="49"/>
      <c r="H213" s="49"/>
      <c r="I213" s="49"/>
      <c r="J213" s="49"/>
    </row>
    <row r="214" spans="1:10">
      <c r="A214" s="49"/>
      <c r="B214" s="49"/>
      <c r="C214" s="49"/>
      <c r="D214" s="49"/>
      <c r="E214" s="49"/>
      <c r="F214" s="49"/>
      <c r="G214" s="49"/>
      <c r="H214" s="49"/>
      <c r="I214" s="49"/>
      <c r="J214" s="49"/>
    </row>
    <row r="215" spans="1:10">
      <c r="A215" s="49"/>
      <c r="B215" s="49"/>
      <c r="C215" s="49"/>
      <c r="D215" s="49"/>
      <c r="E215" s="49"/>
      <c r="F215" s="49"/>
      <c r="G215" s="49"/>
      <c r="H215" s="49"/>
      <c r="I215" s="49"/>
      <c r="J215" s="49"/>
    </row>
    <row r="216" spans="1:10">
      <c r="A216" s="49"/>
      <c r="B216" s="49"/>
      <c r="C216" s="49"/>
      <c r="D216" s="49"/>
      <c r="E216" s="49"/>
      <c r="F216" s="49"/>
      <c r="G216" s="49"/>
      <c r="H216" s="49"/>
      <c r="I216" s="49"/>
      <c r="J216" s="49"/>
    </row>
  </sheetData>
  <mergeCells count="64">
    <mergeCell ref="B96:B98"/>
    <mergeCell ref="A119:A127"/>
    <mergeCell ref="A128:A129"/>
    <mergeCell ref="A113:A115"/>
    <mergeCell ref="J113:J114"/>
    <mergeCell ref="A107:A110"/>
    <mergeCell ref="J107:J108"/>
    <mergeCell ref="A102:A106"/>
    <mergeCell ref="J102:J103"/>
    <mergeCell ref="A96:A98"/>
    <mergeCell ref="J96:J97"/>
    <mergeCell ref="B128:B129"/>
    <mergeCell ref="B119:B127"/>
    <mergeCell ref="B113:B115"/>
    <mergeCell ref="B107:B110"/>
    <mergeCell ref="B102:B106"/>
    <mergeCell ref="A92:A94"/>
    <mergeCell ref="B92:B94"/>
    <mergeCell ref="A69:A70"/>
    <mergeCell ref="B69:B70"/>
    <mergeCell ref="A72:A79"/>
    <mergeCell ref="B72:B79"/>
    <mergeCell ref="J72:J74"/>
    <mergeCell ref="A80:A91"/>
    <mergeCell ref="B80:B91"/>
    <mergeCell ref="J80:J84"/>
    <mergeCell ref="A58:A60"/>
    <mergeCell ref="B58:B60"/>
    <mergeCell ref="J58:J60"/>
    <mergeCell ref="A61:A68"/>
    <mergeCell ref="B61:B68"/>
    <mergeCell ref="J61:J62"/>
    <mergeCell ref="J63:J64"/>
    <mergeCell ref="A47:A51"/>
    <mergeCell ref="B47:B51"/>
    <mergeCell ref="J47:J51"/>
    <mergeCell ref="A52:A57"/>
    <mergeCell ref="B52:B57"/>
    <mergeCell ref="J52:J57"/>
    <mergeCell ref="A43:A46"/>
    <mergeCell ref="B43:B46"/>
    <mergeCell ref="J43:J46"/>
    <mergeCell ref="A25:A31"/>
    <mergeCell ref="B25:B31"/>
    <mergeCell ref="J25:J31"/>
    <mergeCell ref="A32:A33"/>
    <mergeCell ref="B32:B33"/>
    <mergeCell ref="J32:J33"/>
    <mergeCell ref="A35:A40"/>
    <mergeCell ref="B35:B40"/>
    <mergeCell ref="J35:J40"/>
    <mergeCell ref="A41:A42"/>
    <mergeCell ref="B41:B42"/>
    <mergeCell ref="A14:A15"/>
    <mergeCell ref="B14:B15"/>
    <mergeCell ref="J14:J15"/>
    <mergeCell ref="A19:A23"/>
    <mergeCell ref="B19:B23"/>
    <mergeCell ref="J19:J23"/>
    <mergeCell ref="A7:J7"/>
    <mergeCell ref="A10:A13"/>
    <mergeCell ref="B10:B13"/>
    <mergeCell ref="J10:J11"/>
    <mergeCell ref="J12:J13"/>
  </mergeCells>
  <pageMargins left="0.39370078740157483" right="0.39370078740157483" top="0.59055118110236227" bottom="0.59055118110236227" header="0.31496062992125984" footer="0.31496062992125984"/>
  <pageSetup paperSize="9" scale="90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3"/>
  <sheetViews>
    <sheetView workbookViewId="0">
      <pane ySplit="8" topLeftCell="A107" activePane="bottomLeft" state="frozen"/>
      <selection pane="bottomLeft" sqref="A1:XFD1048576"/>
    </sheetView>
  </sheetViews>
  <sheetFormatPr defaultColWidth="9.140625" defaultRowHeight="12.75"/>
  <cols>
    <col min="1" max="1" width="3" style="48" bestFit="1" customWidth="1"/>
    <col min="2" max="2" width="26" style="48" customWidth="1"/>
    <col min="3" max="3" width="8.42578125" style="48" bestFit="1" customWidth="1"/>
    <col min="4" max="4" width="18.42578125" style="48" customWidth="1"/>
    <col min="5" max="7" width="12.5703125" style="48" customWidth="1"/>
    <col min="8" max="9" width="12.140625" style="48" customWidth="1"/>
    <col min="10" max="10" width="13" style="48" hidden="1" customWidth="1"/>
    <col min="11" max="11" width="11.5703125" style="48" customWidth="1"/>
    <col min="12" max="12" width="9.42578125" style="48" hidden="1" customWidth="1"/>
    <col min="13" max="13" width="9" style="48" customWidth="1"/>
    <col min="14" max="14" width="40" style="48" customWidth="1"/>
    <col min="15" max="16" width="9.140625" style="48"/>
    <col min="17" max="17" width="9.140625" style="46"/>
    <col min="18" max="16384" width="9.140625" style="48"/>
  </cols>
  <sheetData>
    <row r="1" spans="1:17">
      <c r="N1" s="3"/>
    </row>
    <row r="2" spans="1:17">
      <c r="N2" s="32"/>
    </row>
    <row r="3" spans="1:17">
      <c r="N3" s="3"/>
    </row>
    <row r="4" spans="1:17">
      <c r="N4" s="3"/>
    </row>
    <row r="5" spans="1:17">
      <c r="N5" s="35" t="s">
        <v>232</v>
      </c>
    </row>
    <row r="6" spans="1:17">
      <c r="N6" s="35"/>
    </row>
    <row r="7" spans="1:17" ht="27" customHeight="1">
      <c r="A7" s="425" t="s">
        <v>112</v>
      </c>
      <c r="B7" s="426"/>
      <c r="C7" s="426"/>
      <c r="D7" s="426"/>
      <c r="E7" s="426"/>
      <c r="F7" s="426"/>
      <c r="G7" s="426"/>
      <c r="H7" s="426"/>
      <c r="I7" s="426"/>
      <c r="J7" s="426"/>
      <c r="K7" s="426"/>
      <c r="L7" s="426"/>
      <c r="M7" s="426"/>
      <c r="N7" s="426"/>
    </row>
    <row r="8" spans="1:17" ht="39" customHeight="1">
      <c r="A8" s="165" t="s">
        <v>2</v>
      </c>
      <c r="B8" s="165" t="s">
        <v>25</v>
      </c>
      <c r="C8" s="165" t="s">
        <v>113</v>
      </c>
      <c r="D8" s="30" t="s">
        <v>273</v>
      </c>
      <c r="E8" s="30" t="s">
        <v>281</v>
      </c>
      <c r="F8" s="30" t="s">
        <v>284</v>
      </c>
      <c r="G8" s="30" t="s">
        <v>285</v>
      </c>
      <c r="H8" s="30" t="s">
        <v>235</v>
      </c>
      <c r="I8" s="30" t="s">
        <v>274</v>
      </c>
      <c r="J8" s="30" t="s">
        <v>256</v>
      </c>
      <c r="K8" s="30" t="s">
        <v>257</v>
      </c>
      <c r="L8" s="30" t="s">
        <v>234</v>
      </c>
      <c r="M8" s="30" t="s">
        <v>283</v>
      </c>
      <c r="N8" s="165" t="s">
        <v>114</v>
      </c>
    </row>
    <row r="9" spans="1:17">
      <c r="A9" s="44">
        <v>1</v>
      </c>
      <c r="B9" s="44">
        <v>2</v>
      </c>
      <c r="C9" s="44">
        <v>3</v>
      </c>
      <c r="D9" s="44">
        <v>4</v>
      </c>
      <c r="E9" s="44"/>
      <c r="F9" s="44"/>
      <c r="G9" s="44"/>
      <c r="H9" s="44">
        <v>5</v>
      </c>
      <c r="I9" s="44"/>
      <c r="J9" s="44">
        <v>6</v>
      </c>
      <c r="K9" s="44">
        <v>7</v>
      </c>
      <c r="L9" s="44">
        <v>8</v>
      </c>
      <c r="M9" s="44">
        <v>9</v>
      </c>
      <c r="N9" s="44">
        <v>10</v>
      </c>
    </row>
    <row r="10" spans="1:17">
      <c r="A10" s="428">
        <v>1</v>
      </c>
      <c r="B10" s="458" t="s">
        <v>115</v>
      </c>
      <c r="C10" s="6">
        <v>2222</v>
      </c>
      <c r="D10" s="100">
        <v>3.5</v>
      </c>
      <c r="E10" s="100"/>
      <c r="F10" s="100"/>
      <c r="G10" s="100">
        <f>+D10+E10+F10</f>
        <v>3.5</v>
      </c>
      <c r="H10" s="100"/>
      <c r="I10" s="100"/>
      <c r="J10" s="100"/>
      <c r="K10" s="101"/>
      <c r="L10" s="100"/>
      <c r="M10" s="101"/>
      <c r="N10" s="429" t="s">
        <v>254</v>
      </c>
    </row>
    <row r="11" spans="1:17">
      <c r="A11" s="418"/>
      <c r="B11" s="456"/>
      <c r="C11" s="6">
        <v>3112</v>
      </c>
      <c r="D11" s="100">
        <v>10.1</v>
      </c>
      <c r="E11" s="100"/>
      <c r="F11" s="100"/>
      <c r="G11" s="100">
        <f t="shared" ref="G11:G74" si="0">+D11+E11+F11</f>
        <v>10.1</v>
      </c>
      <c r="H11" s="100"/>
      <c r="I11" s="100"/>
      <c r="J11" s="100"/>
      <c r="K11" s="101"/>
      <c r="L11" s="100"/>
      <c r="M11" s="101"/>
      <c r="N11" s="430"/>
    </row>
    <row r="12" spans="1:17">
      <c r="A12" s="418"/>
      <c r="B12" s="456"/>
      <c r="C12" s="6">
        <v>2111</v>
      </c>
      <c r="D12" s="100">
        <v>55.3</v>
      </c>
      <c r="E12" s="100"/>
      <c r="F12" s="100"/>
      <c r="G12" s="100">
        <f t="shared" si="0"/>
        <v>55.3</v>
      </c>
      <c r="H12" s="100"/>
      <c r="I12" s="100"/>
      <c r="J12" s="100"/>
      <c r="K12" s="101"/>
      <c r="L12" s="100"/>
      <c r="M12" s="101"/>
      <c r="N12" s="429" t="s">
        <v>260</v>
      </c>
    </row>
    <row r="13" spans="1:17">
      <c r="A13" s="450"/>
      <c r="B13" s="457"/>
      <c r="C13" s="6">
        <v>2121</v>
      </c>
      <c r="D13" s="100">
        <v>9.5</v>
      </c>
      <c r="E13" s="100"/>
      <c r="F13" s="100"/>
      <c r="G13" s="100">
        <f t="shared" si="0"/>
        <v>9.5</v>
      </c>
      <c r="H13" s="100"/>
      <c r="I13" s="100"/>
      <c r="J13" s="100"/>
      <c r="K13" s="101"/>
      <c r="L13" s="100"/>
      <c r="M13" s="101"/>
      <c r="N13" s="430"/>
    </row>
    <row r="14" spans="1:17">
      <c r="A14" s="428">
        <v>2</v>
      </c>
      <c r="B14" s="458" t="s">
        <v>23</v>
      </c>
      <c r="C14" s="6">
        <v>2215</v>
      </c>
      <c r="D14" s="100">
        <v>3.4</v>
      </c>
      <c r="E14" s="100"/>
      <c r="F14" s="100"/>
      <c r="G14" s="100">
        <f t="shared" si="0"/>
        <v>3.4</v>
      </c>
      <c r="H14" s="100"/>
      <c r="I14" s="100"/>
      <c r="J14" s="100"/>
      <c r="K14" s="100"/>
      <c r="L14" s="100"/>
      <c r="M14" s="100"/>
      <c r="N14" s="429" t="s">
        <v>254</v>
      </c>
      <c r="O14" s="51"/>
      <c r="P14" s="51"/>
      <c r="Q14" s="122"/>
    </row>
    <row r="15" spans="1:17">
      <c r="A15" s="450"/>
      <c r="B15" s="457"/>
      <c r="C15" s="6">
        <v>2218</v>
      </c>
      <c r="D15" s="100">
        <v>33.5</v>
      </c>
      <c r="E15" s="100"/>
      <c r="F15" s="100"/>
      <c r="G15" s="100">
        <f t="shared" si="0"/>
        <v>33.5</v>
      </c>
      <c r="H15" s="100"/>
      <c r="I15" s="100"/>
      <c r="J15" s="100"/>
      <c r="K15" s="100"/>
      <c r="L15" s="100"/>
      <c r="M15" s="100"/>
      <c r="N15" s="430"/>
      <c r="O15" s="51"/>
      <c r="P15" s="51"/>
      <c r="Q15" s="122"/>
    </row>
    <row r="16" spans="1:17" s="52" customFormat="1" hidden="1">
      <c r="A16" s="246"/>
      <c r="B16" s="259" t="s">
        <v>117</v>
      </c>
      <c r="C16" s="6"/>
      <c r="D16" s="100"/>
      <c r="E16" s="100"/>
      <c r="F16" s="100"/>
      <c r="G16" s="100">
        <f t="shared" si="0"/>
        <v>0</v>
      </c>
      <c r="H16" s="100"/>
      <c r="I16" s="100"/>
      <c r="J16" s="100"/>
      <c r="K16" s="100"/>
      <c r="L16" s="100"/>
      <c r="M16" s="101"/>
      <c r="N16" s="249"/>
      <c r="Q16" s="123"/>
    </row>
    <row r="17" spans="1:17" s="52" customFormat="1" ht="25.5">
      <c r="A17" s="246">
        <v>3</v>
      </c>
      <c r="B17" s="259" t="s">
        <v>19</v>
      </c>
      <c r="C17" s="6">
        <v>2215</v>
      </c>
      <c r="D17" s="100">
        <v>50.1</v>
      </c>
      <c r="E17" s="100"/>
      <c r="F17" s="100"/>
      <c r="G17" s="100">
        <f t="shared" si="0"/>
        <v>50.1</v>
      </c>
      <c r="H17" s="100"/>
      <c r="I17" s="100"/>
      <c r="J17" s="100"/>
      <c r="K17" s="101"/>
      <c r="L17" s="100"/>
      <c r="M17" s="101"/>
      <c r="N17" s="247" t="s">
        <v>254</v>
      </c>
      <c r="Q17" s="123"/>
    </row>
    <row r="18" spans="1:17" s="52" customFormat="1" ht="25.5">
      <c r="A18" s="246">
        <v>4</v>
      </c>
      <c r="B18" s="259" t="s">
        <v>121</v>
      </c>
      <c r="C18" s="6">
        <v>2215</v>
      </c>
      <c r="D18" s="100">
        <v>12.2</v>
      </c>
      <c r="E18" s="100"/>
      <c r="F18" s="100"/>
      <c r="G18" s="100">
        <f t="shared" si="0"/>
        <v>12.2</v>
      </c>
      <c r="H18" s="100"/>
      <c r="I18" s="100"/>
      <c r="J18" s="100"/>
      <c r="K18" s="101"/>
      <c r="L18" s="100"/>
      <c r="M18" s="101"/>
      <c r="N18" s="247" t="s">
        <v>254</v>
      </c>
      <c r="Q18" s="123"/>
    </row>
    <row r="19" spans="1:17" s="52" customFormat="1">
      <c r="A19" s="428">
        <v>5</v>
      </c>
      <c r="B19" s="458" t="s">
        <v>123</v>
      </c>
      <c r="C19" s="6">
        <v>2214</v>
      </c>
      <c r="D19" s="100">
        <v>7.5</v>
      </c>
      <c r="E19" s="100"/>
      <c r="F19" s="100"/>
      <c r="G19" s="100">
        <f t="shared" si="0"/>
        <v>7.5</v>
      </c>
      <c r="H19" s="100"/>
      <c r="I19" s="100"/>
      <c r="J19" s="100"/>
      <c r="K19" s="100"/>
      <c r="L19" s="100"/>
      <c r="M19" s="101"/>
      <c r="N19" s="429" t="s">
        <v>254</v>
      </c>
      <c r="Q19" s="123"/>
    </row>
    <row r="20" spans="1:17" s="52" customFormat="1">
      <c r="A20" s="418"/>
      <c r="B20" s="456"/>
      <c r="C20" s="6">
        <v>2215</v>
      </c>
      <c r="D20" s="100">
        <v>23.7</v>
      </c>
      <c r="E20" s="100"/>
      <c r="F20" s="100"/>
      <c r="G20" s="100">
        <f t="shared" si="0"/>
        <v>23.7</v>
      </c>
      <c r="H20" s="100"/>
      <c r="I20" s="100"/>
      <c r="J20" s="100"/>
      <c r="K20" s="100"/>
      <c r="L20" s="100"/>
      <c r="M20" s="101"/>
      <c r="N20" s="455"/>
      <c r="Q20" s="123"/>
    </row>
    <row r="21" spans="1:17" s="52" customFormat="1">
      <c r="A21" s="418"/>
      <c r="B21" s="456"/>
      <c r="C21" s="6">
        <v>2218</v>
      </c>
      <c r="D21" s="100">
        <v>3.6</v>
      </c>
      <c r="E21" s="100"/>
      <c r="F21" s="100"/>
      <c r="G21" s="100">
        <f t="shared" si="0"/>
        <v>3.6</v>
      </c>
      <c r="H21" s="100"/>
      <c r="I21" s="100"/>
      <c r="J21" s="100"/>
      <c r="K21" s="100"/>
      <c r="L21" s="100"/>
      <c r="M21" s="101"/>
      <c r="N21" s="455"/>
      <c r="Q21" s="123"/>
    </row>
    <row r="22" spans="1:17" s="52" customFormat="1">
      <c r="A22" s="418"/>
      <c r="B22" s="456"/>
      <c r="C22" s="6">
        <v>2222</v>
      </c>
      <c r="D22" s="100">
        <v>70</v>
      </c>
      <c r="E22" s="100"/>
      <c r="F22" s="100"/>
      <c r="G22" s="100">
        <f t="shared" si="0"/>
        <v>70</v>
      </c>
      <c r="H22" s="100"/>
      <c r="I22" s="100"/>
      <c r="J22" s="100"/>
      <c r="K22" s="100"/>
      <c r="L22" s="100"/>
      <c r="M22" s="101"/>
      <c r="N22" s="455"/>
      <c r="Q22" s="123"/>
    </row>
    <row r="23" spans="1:17" s="52" customFormat="1">
      <c r="A23" s="450"/>
      <c r="B23" s="457"/>
      <c r="C23" s="6">
        <v>3112</v>
      </c>
      <c r="D23" s="100">
        <v>9.6999999999999993</v>
      </c>
      <c r="E23" s="100"/>
      <c r="F23" s="100"/>
      <c r="G23" s="100">
        <f t="shared" si="0"/>
        <v>9.6999999999999993</v>
      </c>
      <c r="H23" s="100"/>
      <c r="I23" s="100"/>
      <c r="J23" s="100"/>
      <c r="K23" s="100"/>
      <c r="L23" s="100"/>
      <c r="M23" s="101"/>
      <c r="N23" s="430"/>
      <c r="Q23" s="123"/>
    </row>
    <row r="24" spans="1:17" ht="25.5" hidden="1">
      <c r="A24" s="246"/>
      <c r="B24" s="260" t="s">
        <v>188</v>
      </c>
      <c r="C24" s="6"/>
      <c r="D24" s="166"/>
      <c r="E24" s="166"/>
      <c r="F24" s="166"/>
      <c r="G24" s="100">
        <f t="shared" si="0"/>
        <v>0</v>
      </c>
      <c r="H24" s="166"/>
      <c r="I24" s="166"/>
      <c r="J24" s="100"/>
      <c r="K24" s="102"/>
      <c r="L24" s="100"/>
      <c r="M24" s="102"/>
      <c r="N24" s="247"/>
    </row>
    <row r="25" spans="1:17">
      <c r="A25" s="428">
        <v>6</v>
      </c>
      <c r="B25" s="429" t="s">
        <v>18</v>
      </c>
      <c r="C25" s="6">
        <v>2214</v>
      </c>
      <c r="D25" s="100">
        <v>38</v>
      </c>
      <c r="E25" s="100"/>
      <c r="F25" s="100"/>
      <c r="G25" s="100">
        <f t="shared" si="0"/>
        <v>38</v>
      </c>
      <c r="H25" s="100"/>
      <c r="I25" s="100"/>
      <c r="J25" s="100"/>
      <c r="K25" s="102"/>
      <c r="L25" s="100"/>
      <c r="M25" s="102"/>
      <c r="N25" s="429" t="s">
        <v>254</v>
      </c>
    </row>
    <row r="26" spans="1:17">
      <c r="A26" s="418"/>
      <c r="B26" s="455"/>
      <c r="C26" s="6">
        <v>2222</v>
      </c>
      <c r="D26" s="100">
        <v>23.5</v>
      </c>
      <c r="E26" s="100"/>
      <c r="F26" s="100"/>
      <c r="G26" s="100">
        <f t="shared" si="0"/>
        <v>23.5</v>
      </c>
      <c r="H26" s="100"/>
      <c r="I26" s="100"/>
      <c r="J26" s="100"/>
      <c r="K26" s="102"/>
      <c r="L26" s="100"/>
      <c r="M26" s="102"/>
      <c r="N26" s="455"/>
    </row>
    <row r="27" spans="1:17">
      <c r="A27" s="418"/>
      <c r="B27" s="455"/>
      <c r="C27" s="6">
        <v>2223</v>
      </c>
      <c r="D27" s="100">
        <v>1.4</v>
      </c>
      <c r="E27" s="100"/>
      <c r="F27" s="100"/>
      <c r="G27" s="100">
        <f t="shared" si="0"/>
        <v>1.4</v>
      </c>
      <c r="H27" s="100"/>
      <c r="I27" s="100"/>
      <c r="J27" s="100"/>
      <c r="K27" s="102"/>
      <c r="L27" s="100"/>
      <c r="M27" s="102"/>
      <c r="N27" s="455"/>
    </row>
    <row r="28" spans="1:17">
      <c r="A28" s="418"/>
      <c r="B28" s="455"/>
      <c r="C28" s="6">
        <v>3112</v>
      </c>
      <c r="D28" s="100">
        <v>3.7</v>
      </c>
      <c r="E28" s="100"/>
      <c r="F28" s="100"/>
      <c r="G28" s="100">
        <f t="shared" si="0"/>
        <v>3.7</v>
      </c>
      <c r="H28" s="100"/>
      <c r="I28" s="100"/>
      <c r="J28" s="100"/>
      <c r="K28" s="102"/>
      <c r="L28" s="100"/>
      <c r="M28" s="102"/>
      <c r="N28" s="455"/>
    </row>
    <row r="29" spans="1:17">
      <c r="A29" s="418"/>
      <c r="B29" s="455"/>
      <c r="C29" s="6">
        <v>3113</v>
      </c>
      <c r="D29" s="100">
        <v>179.5</v>
      </c>
      <c r="E29" s="100"/>
      <c r="F29" s="100"/>
      <c r="G29" s="100">
        <f t="shared" si="0"/>
        <v>179.5</v>
      </c>
      <c r="H29" s="100"/>
      <c r="I29" s="100"/>
      <c r="J29" s="100"/>
      <c r="K29" s="102"/>
      <c r="L29" s="100"/>
      <c r="M29" s="102"/>
      <c r="N29" s="455"/>
    </row>
    <row r="30" spans="1:17">
      <c r="A30" s="418"/>
      <c r="B30" s="455"/>
      <c r="C30" s="6">
        <v>3111</v>
      </c>
      <c r="D30" s="100">
        <v>3</v>
      </c>
      <c r="E30" s="100"/>
      <c r="F30" s="100"/>
      <c r="G30" s="100">
        <f t="shared" si="0"/>
        <v>3</v>
      </c>
      <c r="H30" s="100"/>
      <c r="I30" s="100"/>
      <c r="J30" s="100"/>
      <c r="K30" s="102"/>
      <c r="L30" s="100"/>
      <c r="M30" s="102"/>
      <c r="N30" s="455"/>
    </row>
    <row r="31" spans="1:17">
      <c r="A31" s="450"/>
      <c r="B31" s="430"/>
      <c r="C31" s="6">
        <v>2215</v>
      </c>
      <c r="D31" s="100">
        <v>83</v>
      </c>
      <c r="E31" s="100"/>
      <c r="F31" s="100"/>
      <c r="G31" s="100">
        <f t="shared" si="0"/>
        <v>83</v>
      </c>
      <c r="H31" s="100"/>
      <c r="I31" s="100"/>
      <c r="J31" s="100"/>
      <c r="K31" s="102"/>
      <c r="L31" s="100"/>
      <c r="M31" s="102"/>
      <c r="N31" s="430"/>
    </row>
    <row r="32" spans="1:17">
      <c r="A32" s="428">
        <v>7</v>
      </c>
      <c r="B32" s="460" t="s">
        <v>116</v>
      </c>
      <c r="C32" s="6">
        <v>2214</v>
      </c>
      <c r="D32" s="100">
        <v>554.5</v>
      </c>
      <c r="E32" s="100"/>
      <c r="F32" s="100"/>
      <c r="G32" s="100">
        <f t="shared" si="0"/>
        <v>554.5</v>
      </c>
      <c r="H32" s="100"/>
      <c r="I32" s="100"/>
      <c r="J32" s="100"/>
      <c r="K32" s="102"/>
      <c r="L32" s="100"/>
      <c r="M32" s="102"/>
      <c r="N32" s="429" t="s">
        <v>254</v>
      </c>
    </row>
    <row r="33" spans="1:17">
      <c r="A33" s="418"/>
      <c r="B33" s="421"/>
      <c r="C33" s="6">
        <v>2222</v>
      </c>
      <c r="D33" s="100">
        <v>124.8</v>
      </c>
      <c r="E33" s="100"/>
      <c r="F33" s="100"/>
      <c r="G33" s="100">
        <f t="shared" si="0"/>
        <v>124.8</v>
      </c>
      <c r="H33" s="100"/>
      <c r="I33" s="100"/>
      <c r="J33" s="100"/>
      <c r="K33" s="102"/>
      <c r="L33" s="100"/>
      <c r="M33" s="102"/>
      <c r="N33" s="430"/>
    </row>
    <row r="34" spans="1:17">
      <c r="A34" s="418"/>
      <c r="B34" s="421"/>
      <c r="C34" s="6">
        <v>2111</v>
      </c>
      <c r="D34" s="100"/>
      <c r="E34" s="100">
        <v>814.3</v>
      </c>
      <c r="F34" s="100"/>
      <c r="G34" s="100">
        <f t="shared" si="0"/>
        <v>814.3</v>
      </c>
      <c r="H34" s="100"/>
      <c r="I34" s="100"/>
      <c r="J34" s="100"/>
      <c r="K34" s="102"/>
      <c r="L34" s="100"/>
      <c r="M34" s="102"/>
      <c r="N34" s="429" t="s">
        <v>282</v>
      </c>
    </row>
    <row r="35" spans="1:17">
      <c r="A35" s="450"/>
      <c r="B35" s="461"/>
      <c r="C35" s="6">
        <v>2121</v>
      </c>
      <c r="D35" s="100"/>
      <c r="E35" s="100">
        <v>140.4</v>
      </c>
      <c r="F35" s="100"/>
      <c r="G35" s="100">
        <f t="shared" si="0"/>
        <v>140.4</v>
      </c>
      <c r="H35" s="100"/>
      <c r="I35" s="100"/>
      <c r="J35" s="100"/>
      <c r="K35" s="102"/>
      <c r="L35" s="100"/>
      <c r="M35" s="102"/>
      <c r="N35" s="430"/>
    </row>
    <row r="36" spans="1:17" ht="25.5">
      <c r="A36" s="246">
        <v>8</v>
      </c>
      <c r="B36" s="252" t="s">
        <v>240</v>
      </c>
      <c r="C36" s="6">
        <v>2215</v>
      </c>
      <c r="D36" s="100">
        <v>0.4</v>
      </c>
      <c r="E36" s="100"/>
      <c r="F36" s="100"/>
      <c r="G36" s="100">
        <f t="shared" si="0"/>
        <v>0.4</v>
      </c>
      <c r="H36" s="100"/>
      <c r="I36" s="100"/>
      <c r="J36" s="100"/>
      <c r="K36" s="102"/>
      <c r="L36" s="100"/>
      <c r="M36" s="102"/>
      <c r="N36" s="247" t="s">
        <v>254</v>
      </c>
      <c r="O36" s="51"/>
      <c r="P36" s="50"/>
      <c r="Q36" s="144"/>
    </row>
    <row r="37" spans="1:17">
      <c r="A37" s="428">
        <v>9</v>
      </c>
      <c r="B37" s="429" t="s">
        <v>149</v>
      </c>
      <c r="C37" s="6">
        <v>2214</v>
      </c>
      <c r="D37" s="100">
        <v>183</v>
      </c>
      <c r="E37" s="100"/>
      <c r="F37" s="100"/>
      <c r="G37" s="100">
        <f t="shared" si="0"/>
        <v>183</v>
      </c>
      <c r="H37" s="100"/>
      <c r="I37" s="100"/>
      <c r="J37" s="100"/>
      <c r="K37" s="102"/>
      <c r="L37" s="100"/>
      <c r="M37" s="102"/>
      <c r="N37" s="429" t="s">
        <v>254</v>
      </c>
    </row>
    <row r="38" spans="1:17">
      <c r="A38" s="418"/>
      <c r="B38" s="455"/>
      <c r="C38" s="6">
        <v>2215</v>
      </c>
      <c r="D38" s="100">
        <v>66.400000000000006</v>
      </c>
      <c r="E38" s="100"/>
      <c r="F38" s="100"/>
      <c r="G38" s="100">
        <f t="shared" si="0"/>
        <v>66.400000000000006</v>
      </c>
      <c r="H38" s="100"/>
      <c r="I38" s="100"/>
      <c r="J38" s="100"/>
      <c r="K38" s="102"/>
      <c r="L38" s="100"/>
      <c r="M38" s="102"/>
      <c r="N38" s="455"/>
    </row>
    <row r="39" spans="1:17">
      <c r="A39" s="418"/>
      <c r="B39" s="455"/>
      <c r="C39" s="6">
        <v>2222</v>
      </c>
      <c r="D39" s="100">
        <v>449.7</v>
      </c>
      <c r="E39" s="100"/>
      <c r="F39" s="100"/>
      <c r="G39" s="100">
        <f t="shared" si="0"/>
        <v>449.7</v>
      </c>
      <c r="H39" s="100"/>
      <c r="I39" s="100"/>
      <c r="J39" s="100"/>
      <c r="K39" s="102"/>
      <c r="L39" s="100"/>
      <c r="M39" s="102"/>
      <c r="N39" s="455"/>
    </row>
    <row r="40" spans="1:17">
      <c r="A40" s="418"/>
      <c r="B40" s="455"/>
      <c r="C40" s="6">
        <v>2223</v>
      </c>
      <c r="D40" s="100">
        <v>57.4</v>
      </c>
      <c r="E40" s="100"/>
      <c r="F40" s="100"/>
      <c r="G40" s="100">
        <f t="shared" si="0"/>
        <v>57.4</v>
      </c>
      <c r="H40" s="100"/>
      <c r="I40" s="100"/>
      <c r="J40" s="100"/>
      <c r="K40" s="102"/>
      <c r="L40" s="100"/>
      <c r="M40" s="102"/>
      <c r="N40" s="455"/>
      <c r="O40" s="51"/>
      <c r="P40" s="51"/>
      <c r="Q40" s="122"/>
    </row>
    <row r="41" spans="1:17">
      <c r="A41" s="418"/>
      <c r="B41" s="455"/>
      <c r="C41" s="6">
        <v>3112</v>
      </c>
      <c r="D41" s="100">
        <v>26</v>
      </c>
      <c r="E41" s="100"/>
      <c r="F41" s="100"/>
      <c r="G41" s="100">
        <f t="shared" si="0"/>
        <v>26</v>
      </c>
      <c r="H41" s="100"/>
      <c r="I41" s="100"/>
      <c r="J41" s="100"/>
      <c r="K41" s="102"/>
      <c r="L41" s="100"/>
      <c r="M41" s="102"/>
      <c r="N41" s="455"/>
      <c r="O41" s="51"/>
      <c r="P41" s="51"/>
      <c r="Q41" s="122"/>
    </row>
    <row r="42" spans="1:17">
      <c r="A42" s="450"/>
      <c r="B42" s="430"/>
      <c r="C42" s="6">
        <v>3122</v>
      </c>
      <c r="D42" s="100">
        <v>2460.3000000000002</v>
      </c>
      <c r="E42" s="100"/>
      <c r="F42" s="100"/>
      <c r="G42" s="100">
        <f t="shared" si="0"/>
        <v>2460.3000000000002</v>
      </c>
      <c r="H42" s="100"/>
      <c r="I42" s="100"/>
      <c r="J42" s="100"/>
      <c r="K42" s="102"/>
      <c r="L42" s="100"/>
      <c r="M42" s="102"/>
      <c r="N42" s="430"/>
      <c r="O42" s="51"/>
      <c r="P42" s="51"/>
      <c r="Q42" s="122"/>
    </row>
    <row r="43" spans="1:17" hidden="1">
      <c r="A43" s="412"/>
      <c r="B43" s="424" t="s">
        <v>133</v>
      </c>
      <c r="C43" s="6"/>
      <c r="D43" s="100"/>
      <c r="E43" s="100"/>
      <c r="F43" s="100"/>
      <c r="G43" s="100">
        <f t="shared" si="0"/>
        <v>0</v>
      </c>
      <c r="H43" s="100"/>
      <c r="I43" s="100"/>
      <c r="J43" s="100"/>
      <c r="K43" s="102"/>
      <c r="L43" s="100"/>
      <c r="M43" s="102"/>
      <c r="N43" s="247"/>
      <c r="P43" s="50"/>
    </row>
    <row r="44" spans="1:17" hidden="1">
      <c r="A44" s="412"/>
      <c r="B44" s="424"/>
      <c r="C44" s="6"/>
      <c r="D44" s="100"/>
      <c r="E44" s="100"/>
      <c r="F44" s="100"/>
      <c r="G44" s="100">
        <f t="shared" si="0"/>
        <v>0</v>
      </c>
      <c r="H44" s="100"/>
      <c r="I44" s="100"/>
      <c r="J44" s="100"/>
      <c r="K44" s="102"/>
      <c r="L44" s="100"/>
      <c r="M44" s="102"/>
      <c r="N44" s="247"/>
      <c r="P44" s="50"/>
    </row>
    <row r="45" spans="1:17">
      <c r="A45" s="428">
        <v>10</v>
      </c>
      <c r="B45" s="429" t="s">
        <v>16</v>
      </c>
      <c r="C45" s="6">
        <v>2214</v>
      </c>
      <c r="D45" s="100">
        <v>6.5</v>
      </c>
      <c r="E45" s="100"/>
      <c r="F45" s="100"/>
      <c r="G45" s="100">
        <f t="shared" si="0"/>
        <v>6.5</v>
      </c>
      <c r="H45" s="100"/>
      <c r="I45" s="100"/>
      <c r="J45" s="100"/>
      <c r="K45" s="102"/>
      <c r="L45" s="100"/>
      <c r="M45" s="102"/>
      <c r="N45" s="424" t="s">
        <v>254</v>
      </c>
    </row>
    <row r="46" spans="1:17">
      <c r="A46" s="418"/>
      <c r="B46" s="455"/>
      <c r="C46" s="6">
        <v>2215</v>
      </c>
      <c r="D46" s="100">
        <v>80.5</v>
      </c>
      <c r="E46" s="100"/>
      <c r="F46" s="100"/>
      <c r="G46" s="100">
        <f t="shared" si="0"/>
        <v>80.5</v>
      </c>
      <c r="H46" s="100"/>
      <c r="I46" s="100"/>
      <c r="J46" s="100"/>
      <c r="K46" s="102"/>
      <c r="L46" s="100"/>
      <c r="M46" s="102"/>
      <c r="N46" s="424"/>
    </row>
    <row r="47" spans="1:17">
      <c r="A47" s="418"/>
      <c r="B47" s="455"/>
      <c r="C47" s="6">
        <v>2222</v>
      </c>
      <c r="D47" s="100">
        <v>2.6</v>
      </c>
      <c r="E47" s="100"/>
      <c r="F47" s="100"/>
      <c r="G47" s="100">
        <f t="shared" si="0"/>
        <v>2.6</v>
      </c>
      <c r="H47" s="100"/>
      <c r="I47" s="100"/>
      <c r="J47" s="100"/>
      <c r="K47" s="102"/>
      <c r="L47" s="100"/>
      <c r="M47" s="102"/>
      <c r="N47" s="424"/>
      <c r="O47" s="251"/>
    </row>
    <row r="48" spans="1:17">
      <c r="A48" s="418"/>
      <c r="B48" s="455"/>
      <c r="C48" s="6">
        <v>3111</v>
      </c>
      <c r="D48" s="100">
        <v>4970.3999999999996</v>
      </c>
      <c r="E48" s="100"/>
      <c r="F48" s="100"/>
      <c r="G48" s="100">
        <f t="shared" si="0"/>
        <v>4970.3999999999996</v>
      </c>
      <c r="H48" s="100"/>
      <c r="I48" s="100"/>
      <c r="J48" s="100"/>
      <c r="K48" s="102"/>
      <c r="L48" s="100"/>
      <c r="M48" s="102"/>
      <c r="N48" s="424"/>
    </row>
    <row r="49" spans="1:16" ht="25.5">
      <c r="A49" s="450"/>
      <c r="B49" s="430"/>
      <c r="C49" s="6">
        <v>3111</v>
      </c>
      <c r="D49" s="100"/>
      <c r="E49" s="100">
        <v>2246.8000000000002</v>
      </c>
      <c r="F49" s="100"/>
      <c r="G49" s="100">
        <f t="shared" si="0"/>
        <v>2246.8000000000002</v>
      </c>
      <c r="H49" s="100"/>
      <c r="I49" s="100"/>
      <c r="J49" s="100"/>
      <c r="K49" s="102"/>
      <c r="L49" s="100"/>
      <c r="M49" s="102"/>
      <c r="N49" s="247" t="s">
        <v>254</v>
      </c>
    </row>
    <row r="50" spans="1:16">
      <c r="A50" s="412">
        <v>11</v>
      </c>
      <c r="B50" s="459" t="s">
        <v>17</v>
      </c>
      <c r="C50" s="6">
        <v>2214</v>
      </c>
      <c r="D50" s="100">
        <v>34.9</v>
      </c>
      <c r="E50" s="100"/>
      <c r="F50" s="100"/>
      <c r="G50" s="100">
        <f t="shared" si="0"/>
        <v>34.9</v>
      </c>
      <c r="H50" s="100"/>
      <c r="I50" s="100"/>
      <c r="J50" s="100"/>
      <c r="K50" s="102"/>
      <c r="L50" s="100"/>
      <c r="M50" s="102"/>
      <c r="N50" s="424" t="s">
        <v>254</v>
      </c>
    </row>
    <row r="51" spans="1:16">
      <c r="A51" s="412"/>
      <c r="B51" s="459"/>
      <c r="C51" s="6">
        <v>2215</v>
      </c>
      <c r="D51" s="100">
        <v>83.1</v>
      </c>
      <c r="E51" s="100"/>
      <c r="F51" s="100"/>
      <c r="G51" s="100">
        <f t="shared" si="0"/>
        <v>83.1</v>
      </c>
      <c r="H51" s="100"/>
      <c r="I51" s="100"/>
      <c r="J51" s="100"/>
      <c r="K51" s="102"/>
      <c r="L51" s="100"/>
      <c r="M51" s="102"/>
      <c r="N51" s="424"/>
    </row>
    <row r="52" spans="1:16">
      <c r="A52" s="412"/>
      <c r="B52" s="459"/>
      <c r="C52" s="6">
        <v>2221</v>
      </c>
      <c r="D52" s="100">
        <v>18.2</v>
      </c>
      <c r="E52" s="100"/>
      <c r="F52" s="100"/>
      <c r="G52" s="100">
        <f t="shared" si="0"/>
        <v>18.2</v>
      </c>
      <c r="H52" s="100"/>
      <c r="I52" s="100"/>
      <c r="J52" s="100"/>
      <c r="K52" s="102"/>
      <c r="L52" s="100"/>
      <c r="M52" s="102"/>
      <c r="N52" s="424"/>
    </row>
    <row r="53" spans="1:16">
      <c r="A53" s="412"/>
      <c r="B53" s="459"/>
      <c r="C53" s="6">
        <v>2222</v>
      </c>
      <c r="D53" s="100">
        <v>594.6</v>
      </c>
      <c r="E53" s="100"/>
      <c r="F53" s="100"/>
      <c r="G53" s="100">
        <f t="shared" si="0"/>
        <v>594.6</v>
      </c>
      <c r="H53" s="100"/>
      <c r="I53" s="100"/>
      <c r="J53" s="100"/>
      <c r="K53" s="102"/>
      <c r="L53" s="100"/>
      <c r="M53" s="102"/>
      <c r="N53" s="424"/>
    </row>
    <row r="54" spans="1:16">
      <c r="A54" s="412"/>
      <c r="B54" s="459"/>
      <c r="C54" s="6">
        <v>3112</v>
      </c>
      <c r="D54" s="100">
        <v>202.1</v>
      </c>
      <c r="E54" s="100"/>
      <c r="F54" s="100"/>
      <c r="G54" s="100">
        <f t="shared" si="0"/>
        <v>202.1</v>
      </c>
      <c r="H54" s="100"/>
      <c r="I54" s="100"/>
      <c r="J54" s="100"/>
      <c r="K54" s="102"/>
      <c r="L54" s="100"/>
      <c r="M54" s="102"/>
      <c r="N54" s="424"/>
    </row>
    <row r="55" spans="1:16">
      <c r="A55" s="412">
        <v>12</v>
      </c>
      <c r="B55" s="459" t="s">
        <v>28</v>
      </c>
      <c r="C55" s="6">
        <v>2111</v>
      </c>
      <c r="D55" s="100">
        <v>164.4</v>
      </c>
      <c r="E55" s="100"/>
      <c r="F55" s="100"/>
      <c r="G55" s="100">
        <f t="shared" si="0"/>
        <v>164.4</v>
      </c>
      <c r="H55" s="100"/>
      <c r="I55" s="100"/>
      <c r="J55" s="100"/>
      <c r="K55" s="102"/>
      <c r="L55" s="100"/>
      <c r="M55" s="102"/>
      <c r="N55" s="424" t="s">
        <v>254</v>
      </c>
    </row>
    <row r="56" spans="1:16">
      <c r="A56" s="412"/>
      <c r="B56" s="459"/>
      <c r="C56" s="6">
        <v>2121</v>
      </c>
      <c r="D56" s="100">
        <v>28.4</v>
      </c>
      <c r="E56" s="100"/>
      <c r="F56" s="100"/>
      <c r="G56" s="100">
        <f t="shared" si="0"/>
        <v>28.4</v>
      </c>
      <c r="H56" s="100"/>
      <c r="I56" s="100"/>
      <c r="J56" s="100"/>
      <c r="K56" s="102"/>
      <c r="L56" s="100"/>
      <c r="M56" s="102"/>
      <c r="N56" s="424"/>
    </row>
    <row r="57" spans="1:16">
      <c r="A57" s="412"/>
      <c r="B57" s="459"/>
      <c r="C57" s="6">
        <v>2214</v>
      </c>
      <c r="D57" s="100">
        <v>1.9</v>
      </c>
      <c r="E57" s="100"/>
      <c r="F57" s="100"/>
      <c r="G57" s="100">
        <f t="shared" si="0"/>
        <v>1.9</v>
      </c>
      <c r="H57" s="100"/>
      <c r="I57" s="100"/>
      <c r="J57" s="100"/>
      <c r="K57" s="102"/>
      <c r="L57" s="100"/>
      <c r="M57" s="102"/>
      <c r="N57" s="424"/>
    </row>
    <row r="58" spans="1:16">
      <c r="A58" s="412"/>
      <c r="B58" s="459"/>
      <c r="C58" s="6">
        <v>2215</v>
      </c>
      <c r="D58" s="100">
        <f>5+6+17.8+0.5+7.5+4</f>
        <v>40.799999999999997</v>
      </c>
      <c r="E58" s="100"/>
      <c r="F58" s="100"/>
      <c r="G58" s="100">
        <f t="shared" si="0"/>
        <v>40.799999999999997</v>
      </c>
      <c r="H58" s="100"/>
      <c r="I58" s="100"/>
      <c r="J58" s="100"/>
      <c r="K58" s="102"/>
      <c r="L58" s="100"/>
      <c r="M58" s="102"/>
      <c r="N58" s="424"/>
    </row>
    <row r="59" spans="1:16">
      <c r="A59" s="412"/>
      <c r="B59" s="459"/>
      <c r="C59" s="6">
        <v>2222</v>
      </c>
      <c r="D59" s="100">
        <v>28.8</v>
      </c>
      <c r="E59" s="100"/>
      <c r="F59" s="100"/>
      <c r="G59" s="100">
        <f t="shared" si="0"/>
        <v>28.8</v>
      </c>
      <c r="H59" s="100"/>
      <c r="I59" s="100"/>
      <c r="J59" s="100"/>
      <c r="K59" s="102"/>
      <c r="L59" s="100"/>
      <c r="M59" s="102"/>
      <c r="N59" s="424"/>
    </row>
    <row r="60" spans="1:16">
      <c r="A60" s="412"/>
      <c r="B60" s="459"/>
      <c r="C60" s="6">
        <v>3112</v>
      </c>
      <c r="D60" s="100">
        <v>17.399999999999999</v>
      </c>
      <c r="E60" s="100"/>
      <c r="F60" s="100"/>
      <c r="G60" s="100">
        <f t="shared" si="0"/>
        <v>17.399999999999999</v>
      </c>
      <c r="H60" s="100"/>
      <c r="I60" s="100"/>
      <c r="J60" s="100"/>
      <c r="K60" s="102"/>
      <c r="L60" s="100"/>
      <c r="M60" s="102"/>
      <c r="N60" s="424"/>
    </row>
    <row r="61" spans="1:16">
      <c r="A61" s="412">
        <v>13</v>
      </c>
      <c r="B61" s="459" t="s">
        <v>15</v>
      </c>
      <c r="C61" s="6">
        <v>2214</v>
      </c>
      <c r="D61" s="100">
        <v>3.9</v>
      </c>
      <c r="E61" s="100"/>
      <c r="F61" s="100"/>
      <c r="G61" s="100">
        <f t="shared" si="0"/>
        <v>3.9</v>
      </c>
      <c r="H61" s="100"/>
      <c r="I61" s="100"/>
      <c r="J61" s="100"/>
      <c r="K61" s="102"/>
      <c r="L61" s="100"/>
      <c r="M61" s="102"/>
      <c r="N61" s="424" t="s">
        <v>254</v>
      </c>
    </row>
    <row r="62" spans="1:16">
      <c r="A62" s="412"/>
      <c r="B62" s="459"/>
      <c r="C62" s="6">
        <v>2222</v>
      </c>
      <c r="D62" s="100">
        <v>16.100000000000001</v>
      </c>
      <c r="E62" s="100"/>
      <c r="F62" s="100"/>
      <c r="G62" s="100">
        <f t="shared" si="0"/>
        <v>16.100000000000001</v>
      </c>
      <c r="H62" s="100"/>
      <c r="I62" s="100"/>
      <c r="J62" s="100"/>
      <c r="K62" s="102"/>
      <c r="L62" s="100"/>
      <c r="M62" s="102"/>
      <c r="N62" s="424"/>
      <c r="P62" s="50"/>
    </row>
    <row r="63" spans="1:16">
      <c r="A63" s="412"/>
      <c r="B63" s="459"/>
      <c r="C63" s="6">
        <v>3112</v>
      </c>
      <c r="D63" s="100">
        <v>10.5</v>
      </c>
      <c r="E63" s="100"/>
      <c r="F63" s="100"/>
      <c r="G63" s="100">
        <f t="shared" si="0"/>
        <v>10.5</v>
      </c>
      <c r="H63" s="100"/>
      <c r="I63" s="100"/>
      <c r="J63" s="100"/>
      <c r="K63" s="102"/>
      <c r="L63" s="100"/>
      <c r="M63" s="102"/>
      <c r="N63" s="424"/>
      <c r="P63" s="50"/>
    </row>
    <row r="64" spans="1:16">
      <c r="A64" s="412">
        <v>14</v>
      </c>
      <c r="B64" s="424" t="s">
        <v>139</v>
      </c>
      <c r="C64" s="6">
        <v>2214</v>
      </c>
      <c r="D64" s="100">
        <v>2.2999999999999998</v>
      </c>
      <c r="E64" s="100"/>
      <c r="F64" s="100"/>
      <c r="G64" s="100">
        <f t="shared" si="0"/>
        <v>2.2999999999999998</v>
      </c>
      <c r="H64" s="100"/>
      <c r="I64" s="100"/>
      <c r="J64" s="100"/>
      <c r="K64" s="102"/>
      <c r="L64" s="100"/>
      <c r="M64" s="102"/>
      <c r="N64" s="424" t="s">
        <v>254</v>
      </c>
    </row>
    <row r="65" spans="1:17">
      <c r="A65" s="412"/>
      <c r="B65" s="424"/>
      <c r="C65" s="6">
        <v>2215</v>
      </c>
      <c r="D65" s="100">
        <v>1</v>
      </c>
      <c r="E65" s="100"/>
      <c r="F65" s="100"/>
      <c r="G65" s="100">
        <f t="shared" si="0"/>
        <v>1</v>
      </c>
      <c r="H65" s="100"/>
      <c r="I65" s="100"/>
      <c r="J65" s="100"/>
      <c r="K65" s="102"/>
      <c r="L65" s="100"/>
      <c r="M65" s="102"/>
      <c r="N65" s="424"/>
    </row>
    <row r="66" spans="1:17" hidden="1">
      <c r="A66" s="412"/>
      <c r="B66" s="424"/>
      <c r="C66" s="6"/>
      <c r="D66" s="100"/>
      <c r="E66" s="100"/>
      <c r="F66" s="100"/>
      <c r="G66" s="100">
        <f t="shared" si="0"/>
        <v>0</v>
      </c>
      <c r="H66" s="100"/>
      <c r="I66" s="100"/>
      <c r="J66" s="100"/>
      <c r="K66" s="102"/>
      <c r="L66" s="100"/>
      <c r="M66" s="102"/>
      <c r="N66" s="424"/>
    </row>
    <row r="67" spans="1:17" hidden="1">
      <c r="A67" s="412"/>
      <c r="B67" s="424"/>
      <c r="C67" s="6"/>
      <c r="D67" s="100"/>
      <c r="E67" s="100"/>
      <c r="F67" s="100"/>
      <c r="G67" s="100">
        <f t="shared" si="0"/>
        <v>0</v>
      </c>
      <c r="H67" s="100"/>
      <c r="I67" s="100"/>
      <c r="J67" s="100"/>
      <c r="K67" s="102"/>
      <c r="L67" s="100"/>
      <c r="M67" s="102"/>
      <c r="N67" s="424"/>
    </row>
    <row r="68" spans="1:17" ht="15.6" hidden="1" customHeight="1">
      <c r="A68" s="412"/>
      <c r="B68" s="424"/>
      <c r="C68" s="6"/>
      <c r="D68" s="100"/>
      <c r="E68" s="100"/>
      <c r="F68" s="100"/>
      <c r="G68" s="100">
        <f t="shared" si="0"/>
        <v>0</v>
      </c>
      <c r="H68" s="100"/>
      <c r="I68" s="100"/>
      <c r="J68" s="100"/>
      <c r="K68" s="102"/>
      <c r="L68" s="100"/>
      <c r="M68" s="102"/>
      <c r="N68" s="247"/>
    </row>
    <row r="69" spans="1:17" hidden="1">
      <c r="A69" s="412"/>
      <c r="B69" s="424"/>
      <c r="C69" s="6"/>
      <c r="D69" s="100"/>
      <c r="E69" s="100"/>
      <c r="F69" s="100"/>
      <c r="G69" s="100">
        <f t="shared" si="0"/>
        <v>0</v>
      </c>
      <c r="H69" s="100"/>
      <c r="I69" s="100"/>
      <c r="J69" s="100"/>
      <c r="K69" s="102"/>
      <c r="L69" s="100"/>
      <c r="M69" s="102"/>
      <c r="N69" s="247"/>
    </row>
    <row r="70" spans="1:17" hidden="1">
      <c r="A70" s="412"/>
      <c r="B70" s="424"/>
      <c r="C70" s="6"/>
      <c r="D70" s="100"/>
      <c r="E70" s="100"/>
      <c r="F70" s="100"/>
      <c r="G70" s="100">
        <f t="shared" si="0"/>
        <v>0</v>
      </c>
      <c r="H70" s="100"/>
      <c r="I70" s="100"/>
      <c r="J70" s="100"/>
      <c r="K70" s="102"/>
      <c r="L70" s="100"/>
      <c r="M70" s="102"/>
      <c r="N70" s="247"/>
    </row>
    <row r="71" spans="1:17" hidden="1">
      <c r="A71" s="412"/>
      <c r="B71" s="424"/>
      <c r="C71" s="6"/>
      <c r="D71" s="100"/>
      <c r="E71" s="100"/>
      <c r="F71" s="100"/>
      <c r="G71" s="100">
        <f t="shared" si="0"/>
        <v>0</v>
      </c>
      <c r="H71" s="100"/>
      <c r="I71" s="100"/>
      <c r="J71" s="100"/>
      <c r="K71" s="102"/>
      <c r="L71" s="100"/>
      <c r="M71" s="102"/>
      <c r="N71" s="249"/>
    </row>
    <row r="72" spans="1:17" hidden="1">
      <c r="A72" s="412"/>
      <c r="B72" s="424" t="s">
        <v>142</v>
      </c>
      <c r="C72" s="6"/>
      <c r="D72" s="100"/>
      <c r="E72" s="100"/>
      <c r="F72" s="100"/>
      <c r="G72" s="100">
        <f t="shared" si="0"/>
        <v>0</v>
      </c>
      <c r="H72" s="100"/>
      <c r="I72" s="100"/>
      <c r="J72" s="100"/>
      <c r="K72" s="102"/>
      <c r="L72" s="100"/>
      <c r="M72" s="102"/>
      <c r="N72" s="249"/>
      <c r="P72" s="50"/>
      <c r="Q72" s="122"/>
    </row>
    <row r="73" spans="1:17" hidden="1">
      <c r="A73" s="412"/>
      <c r="B73" s="424"/>
      <c r="C73" s="246"/>
      <c r="D73" s="100"/>
      <c r="E73" s="100"/>
      <c r="F73" s="100"/>
      <c r="G73" s="100">
        <f t="shared" si="0"/>
        <v>0</v>
      </c>
      <c r="H73" s="100"/>
      <c r="I73" s="100"/>
      <c r="J73" s="101"/>
      <c r="K73" s="167"/>
      <c r="L73" s="100"/>
      <c r="M73" s="102"/>
      <c r="N73" s="249"/>
      <c r="P73" s="50"/>
    </row>
    <row r="74" spans="1:17" hidden="1">
      <c r="A74" s="248"/>
      <c r="B74" s="252" t="s">
        <v>21</v>
      </c>
      <c r="C74" s="6"/>
      <c r="D74" s="100"/>
      <c r="E74" s="100"/>
      <c r="F74" s="100"/>
      <c r="G74" s="100">
        <f t="shared" si="0"/>
        <v>0</v>
      </c>
      <c r="H74" s="100"/>
      <c r="I74" s="100"/>
      <c r="J74" s="100"/>
      <c r="K74" s="102"/>
      <c r="L74" s="100"/>
      <c r="M74" s="102"/>
      <c r="N74" s="249"/>
      <c r="O74" s="51"/>
    </row>
    <row r="75" spans="1:17">
      <c r="A75" s="412">
        <v>15</v>
      </c>
      <c r="B75" s="424" t="s">
        <v>22</v>
      </c>
      <c r="C75" s="6">
        <v>2215</v>
      </c>
      <c r="D75" s="100">
        <v>64.400000000000006</v>
      </c>
      <c r="E75" s="100"/>
      <c r="F75" s="100"/>
      <c r="G75" s="100">
        <f t="shared" ref="G75:G138" si="1">+D75+E75+F75</f>
        <v>64.400000000000006</v>
      </c>
      <c r="H75" s="100"/>
      <c r="I75" s="100"/>
      <c r="J75" s="100"/>
      <c r="K75" s="102"/>
      <c r="L75" s="100"/>
      <c r="M75" s="102"/>
      <c r="N75" s="424" t="s">
        <v>254</v>
      </c>
    </row>
    <row r="76" spans="1:17">
      <c r="A76" s="412"/>
      <c r="B76" s="424"/>
      <c r="C76" s="6">
        <v>2221</v>
      </c>
      <c r="D76" s="100">
        <v>0.2</v>
      </c>
      <c r="E76" s="100"/>
      <c r="F76" s="100"/>
      <c r="G76" s="100">
        <f t="shared" si="1"/>
        <v>0.2</v>
      </c>
      <c r="H76" s="100"/>
      <c r="I76" s="100"/>
      <c r="J76" s="100"/>
      <c r="K76" s="102"/>
      <c r="L76" s="100"/>
      <c r="M76" s="102"/>
      <c r="N76" s="424"/>
    </row>
    <row r="77" spans="1:17">
      <c r="A77" s="412"/>
      <c r="B77" s="424"/>
      <c r="C77" s="6">
        <v>3112</v>
      </c>
      <c r="D77" s="100">
        <v>3.7</v>
      </c>
      <c r="E77" s="100"/>
      <c r="F77" s="100"/>
      <c r="G77" s="100">
        <f t="shared" si="1"/>
        <v>3.7</v>
      </c>
      <c r="H77" s="100"/>
      <c r="I77" s="100"/>
      <c r="J77" s="100"/>
      <c r="K77" s="102"/>
      <c r="L77" s="100"/>
      <c r="M77" s="102"/>
      <c r="N77" s="424"/>
    </row>
    <row r="78" spans="1:17" hidden="1">
      <c r="A78" s="412"/>
      <c r="B78" s="424"/>
      <c r="C78" s="6"/>
      <c r="D78" s="100"/>
      <c r="E78" s="100"/>
      <c r="F78" s="100"/>
      <c r="G78" s="100">
        <f t="shared" si="1"/>
        <v>0</v>
      </c>
      <c r="H78" s="100"/>
      <c r="I78" s="100"/>
      <c r="J78" s="100"/>
      <c r="K78" s="102"/>
      <c r="L78" s="100"/>
      <c r="M78" s="102"/>
      <c r="N78" s="249"/>
    </row>
    <row r="79" spans="1:17" hidden="1">
      <c r="A79" s="412"/>
      <c r="B79" s="424"/>
      <c r="C79" s="6"/>
      <c r="D79" s="100"/>
      <c r="E79" s="100"/>
      <c r="F79" s="100"/>
      <c r="G79" s="100">
        <f t="shared" si="1"/>
        <v>0</v>
      </c>
      <c r="H79" s="100"/>
      <c r="I79" s="100"/>
      <c r="J79" s="100"/>
      <c r="K79" s="102"/>
      <c r="L79" s="100"/>
      <c r="M79" s="102"/>
      <c r="N79" s="249"/>
    </row>
    <row r="80" spans="1:17" hidden="1">
      <c r="A80" s="412"/>
      <c r="B80" s="424"/>
      <c r="C80" s="6"/>
      <c r="D80" s="100"/>
      <c r="E80" s="100"/>
      <c r="F80" s="100"/>
      <c r="G80" s="100">
        <f t="shared" si="1"/>
        <v>0</v>
      </c>
      <c r="H80" s="100"/>
      <c r="I80" s="100"/>
      <c r="J80" s="100"/>
      <c r="K80" s="102"/>
      <c r="L80" s="100"/>
      <c r="M80" s="102"/>
      <c r="N80" s="249"/>
    </row>
    <row r="81" spans="1:17" hidden="1">
      <c r="A81" s="412"/>
      <c r="B81" s="424"/>
      <c r="C81" s="6"/>
      <c r="D81" s="100"/>
      <c r="E81" s="100"/>
      <c r="F81" s="100"/>
      <c r="G81" s="100">
        <f t="shared" si="1"/>
        <v>0</v>
      </c>
      <c r="H81" s="100"/>
      <c r="I81" s="100"/>
      <c r="J81" s="100"/>
      <c r="K81" s="102"/>
      <c r="L81" s="100"/>
      <c r="M81" s="102"/>
      <c r="N81" s="249"/>
    </row>
    <row r="82" spans="1:17" hidden="1">
      <c r="A82" s="412"/>
      <c r="B82" s="424"/>
      <c r="C82" s="6"/>
      <c r="D82" s="100"/>
      <c r="E82" s="100"/>
      <c r="F82" s="100"/>
      <c r="G82" s="100">
        <f t="shared" si="1"/>
        <v>0</v>
      </c>
      <c r="H82" s="100"/>
      <c r="I82" s="100"/>
      <c r="J82" s="100"/>
      <c r="K82" s="102"/>
      <c r="L82" s="100"/>
      <c r="M82" s="102"/>
      <c r="N82" s="249"/>
      <c r="O82" s="51"/>
      <c r="P82" s="51"/>
      <c r="Q82" s="122"/>
    </row>
    <row r="83" spans="1:17">
      <c r="A83" s="412">
        <v>16</v>
      </c>
      <c r="B83" s="424" t="s">
        <v>146</v>
      </c>
      <c r="C83" s="6">
        <v>2215</v>
      </c>
      <c r="D83" s="100">
        <v>15</v>
      </c>
      <c r="E83" s="100"/>
      <c r="F83" s="100"/>
      <c r="G83" s="100">
        <f t="shared" si="1"/>
        <v>15</v>
      </c>
      <c r="H83" s="100"/>
      <c r="I83" s="100"/>
      <c r="J83" s="100"/>
      <c r="K83" s="102"/>
      <c r="L83" s="100"/>
      <c r="M83" s="102"/>
      <c r="N83" s="424" t="s">
        <v>254</v>
      </c>
    </row>
    <row r="84" spans="1:17">
      <c r="A84" s="412"/>
      <c r="B84" s="424"/>
      <c r="C84" s="6">
        <v>2221</v>
      </c>
      <c r="D84" s="100">
        <v>0.2</v>
      </c>
      <c r="E84" s="100"/>
      <c r="F84" s="100"/>
      <c r="G84" s="100">
        <f t="shared" si="1"/>
        <v>0.2</v>
      </c>
      <c r="H84" s="100"/>
      <c r="I84" s="100"/>
      <c r="J84" s="100"/>
      <c r="K84" s="102"/>
      <c r="L84" s="100"/>
      <c r="M84" s="102"/>
      <c r="N84" s="424"/>
    </row>
    <row r="85" spans="1:17">
      <c r="A85" s="412"/>
      <c r="B85" s="424"/>
      <c r="C85" s="6">
        <v>2222</v>
      </c>
      <c r="D85" s="100">
        <v>2.1</v>
      </c>
      <c r="E85" s="100"/>
      <c r="F85" s="100"/>
      <c r="G85" s="100">
        <f t="shared" si="1"/>
        <v>2.1</v>
      </c>
      <c r="H85" s="100"/>
      <c r="I85" s="100"/>
      <c r="J85" s="100"/>
      <c r="K85" s="102"/>
      <c r="L85" s="100"/>
      <c r="M85" s="102"/>
      <c r="N85" s="424"/>
    </row>
    <row r="86" spans="1:17">
      <c r="A86" s="412"/>
      <c r="B86" s="424"/>
      <c r="C86" s="6">
        <v>2214</v>
      </c>
      <c r="D86" s="100">
        <v>0.4</v>
      </c>
      <c r="E86" s="100"/>
      <c r="F86" s="100"/>
      <c r="G86" s="100">
        <f t="shared" si="1"/>
        <v>0.4</v>
      </c>
      <c r="H86" s="100"/>
      <c r="I86" s="100"/>
      <c r="J86" s="100"/>
      <c r="K86" s="102"/>
      <c r="L86" s="100"/>
      <c r="M86" s="102"/>
      <c r="N86" s="424"/>
    </row>
    <row r="87" spans="1:17">
      <c r="A87" s="412"/>
      <c r="B87" s="424"/>
      <c r="C87" s="6">
        <v>2218</v>
      </c>
      <c r="D87" s="100">
        <v>85.3</v>
      </c>
      <c r="E87" s="100"/>
      <c r="F87" s="100"/>
      <c r="G87" s="100">
        <f t="shared" si="1"/>
        <v>85.3</v>
      </c>
      <c r="H87" s="100"/>
      <c r="I87" s="100"/>
      <c r="J87" s="100"/>
      <c r="K87" s="102"/>
      <c r="L87" s="100"/>
      <c r="M87" s="102"/>
      <c r="N87" s="424"/>
    </row>
    <row r="88" spans="1:17" hidden="1">
      <c r="A88" s="412"/>
      <c r="B88" s="424"/>
      <c r="C88" s="6"/>
      <c r="D88" s="100"/>
      <c r="E88" s="100"/>
      <c r="F88" s="100"/>
      <c r="G88" s="100">
        <f t="shared" si="1"/>
        <v>0</v>
      </c>
      <c r="H88" s="100"/>
      <c r="I88" s="100"/>
      <c r="J88" s="100"/>
      <c r="K88" s="102"/>
      <c r="L88" s="100"/>
      <c r="M88" s="102"/>
      <c r="N88" s="249"/>
    </row>
    <row r="89" spans="1:17" hidden="1">
      <c r="A89" s="412"/>
      <c r="B89" s="424"/>
      <c r="C89" s="6"/>
      <c r="D89" s="100"/>
      <c r="E89" s="100"/>
      <c r="F89" s="100"/>
      <c r="G89" s="100">
        <f t="shared" si="1"/>
        <v>0</v>
      </c>
      <c r="H89" s="100"/>
      <c r="I89" s="100"/>
      <c r="J89" s="100"/>
      <c r="K89" s="102"/>
      <c r="L89" s="100"/>
      <c r="M89" s="102"/>
      <c r="N89" s="249"/>
    </row>
    <row r="90" spans="1:17" hidden="1">
      <c r="A90" s="412"/>
      <c r="B90" s="424"/>
      <c r="C90" s="6"/>
      <c r="D90" s="100"/>
      <c r="E90" s="100"/>
      <c r="F90" s="100"/>
      <c r="G90" s="100">
        <f t="shared" si="1"/>
        <v>0</v>
      </c>
      <c r="H90" s="100"/>
      <c r="I90" s="100"/>
      <c r="J90" s="100"/>
      <c r="K90" s="102"/>
      <c r="L90" s="100"/>
      <c r="M90" s="102"/>
      <c r="N90" s="249"/>
    </row>
    <row r="91" spans="1:17" hidden="1">
      <c r="A91" s="412"/>
      <c r="B91" s="424"/>
      <c r="C91" s="6"/>
      <c r="D91" s="100"/>
      <c r="E91" s="100"/>
      <c r="F91" s="100"/>
      <c r="G91" s="100">
        <f t="shared" si="1"/>
        <v>0</v>
      </c>
      <c r="H91" s="100"/>
      <c r="I91" s="100"/>
      <c r="J91" s="100"/>
      <c r="K91" s="102"/>
      <c r="L91" s="100"/>
      <c r="M91" s="102"/>
      <c r="N91" s="249"/>
    </row>
    <row r="92" spans="1:17" hidden="1">
      <c r="A92" s="412"/>
      <c r="B92" s="424"/>
      <c r="C92" s="6"/>
      <c r="D92" s="100"/>
      <c r="E92" s="100"/>
      <c r="F92" s="100"/>
      <c r="G92" s="100">
        <f t="shared" si="1"/>
        <v>0</v>
      </c>
      <c r="H92" s="100"/>
      <c r="I92" s="100"/>
      <c r="J92" s="100"/>
      <c r="K92" s="102"/>
      <c r="L92" s="100"/>
      <c r="M92" s="102"/>
      <c r="N92" s="249"/>
    </row>
    <row r="93" spans="1:17" hidden="1">
      <c r="A93" s="412"/>
      <c r="B93" s="424"/>
      <c r="C93" s="6"/>
      <c r="D93" s="100"/>
      <c r="E93" s="100"/>
      <c r="F93" s="100"/>
      <c r="G93" s="100">
        <f t="shared" si="1"/>
        <v>0</v>
      </c>
      <c r="H93" s="100"/>
      <c r="I93" s="100"/>
      <c r="J93" s="100"/>
      <c r="K93" s="102"/>
      <c r="L93" s="100"/>
      <c r="M93" s="102"/>
      <c r="N93" s="249"/>
    </row>
    <row r="94" spans="1:17" hidden="1">
      <c r="A94" s="412"/>
      <c r="B94" s="424"/>
      <c r="C94" s="6"/>
      <c r="D94" s="100"/>
      <c r="E94" s="100"/>
      <c r="F94" s="100"/>
      <c r="G94" s="100">
        <f t="shared" si="1"/>
        <v>0</v>
      </c>
      <c r="H94" s="100"/>
      <c r="I94" s="100"/>
      <c r="J94" s="100"/>
      <c r="K94" s="102"/>
      <c r="L94" s="100"/>
      <c r="M94" s="102"/>
      <c r="N94" s="249"/>
      <c r="O94" s="51"/>
      <c r="P94" s="51"/>
      <c r="Q94" s="122"/>
    </row>
    <row r="95" spans="1:17" ht="25.5">
      <c r="A95" s="412">
        <v>17</v>
      </c>
      <c r="B95" s="424" t="s">
        <v>147</v>
      </c>
      <c r="C95" s="6">
        <v>2215</v>
      </c>
      <c r="D95" s="100">
        <v>1.5</v>
      </c>
      <c r="E95" s="100"/>
      <c r="F95" s="100"/>
      <c r="G95" s="100">
        <f t="shared" si="1"/>
        <v>1.5</v>
      </c>
      <c r="H95" s="100"/>
      <c r="I95" s="100"/>
      <c r="J95" s="100"/>
      <c r="K95" s="102"/>
      <c r="L95" s="100"/>
      <c r="M95" s="102"/>
      <c r="N95" s="249" t="s">
        <v>254</v>
      </c>
      <c r="O95" s="51"/>
      <c r="P95" s="51"/>
      <c r="Q95" s="122"/>
    </row>
    <row r="96" spans="1:17" hidden="1">
      <c r="A96" s="412"/>
      <c r="B96" s="424"/>
      <c r="C96" s="6"/>
      <c r="D96" s="100"/>
      <c r="E96" s="100"/>
      <c r="F96" s="100"/>
      <c r="G96" s="100">
        <f t="shared" si="1"/>
        <v>0</v>
      </c>
      <c r="H96" s="100"/>
      <c r="I96" s="100"/>
      <c r="J96" s="100"/>
      <c r="K96" s="102"/>
      <c r="L96" s="100"/>
      <c r="M96" s="102"/>
      <c r="N96" s="249"/>
      <c r="O96" s="51"/>
      <c r="P96" s="51"/>
      <c r="Q96" s="122"/>
    </row>
    <row r="97" spans="1:17" hidden="1">
      <c r="A97" s="412"/>
      <c r="B97" s="424"/>
      <c r="C97" s="6"/>
      <c r="D97" s="100"/>
      <c r="E97" s="100"/>
      <c r="F97" s="100"/>
      <c r="G97" s="100">
        <f t="shared" si="1"/>
        <v>0</v>
      </c>
      <c r="H97" s="100"/>
      <c r="I97" s="100"/>
      <c r="J97" s="100"/>
      <c r="K97" s="102"/>
      <c r="L97" s="100"/>
      <c r="M97" s="102"/>
      <c r="N97" s="249"/>
      <c r="O97" s="51"/>
      <c r="P97" s="51"/>
    </row>
    <row r="98" spans="1:17" ht="25.5">
      <c r="A98" s="246">
        <v>18</v>
      </c>
      <c r="B98" s="252" t="s">
        <v>237</v>
      </c>
      <c r="C98" s="6">
        <v>2222</v>
      </c>
      <c r="D98" s="100">
        <v>3.2</v>
      </c>
      <c r="E98" s="100"/>
      <c r="F98" s="100"/>
      <c r="G98" s="100">
        <f t="shared" si="1"/>
        <v>3.2</v>
      </c>
      <c r="H98" s="100"/>
      <c r="I98" s="100"/>
      <c r="J98" s="100"/>
      <c r="K98" s="102"/>
      <c r="L98" s="100"/>
      <c r="M98" s="102"/>
      <c r="N98" s="249" t="s">
        <v>254</v>
      </c>
      <c r="O98" s="51"/>
      <c r="P98" s="51"/>
    </row>
    <row r="99" spans="1:17">
      <c r="A99" s="450">
        <v>19</v>
      </c>
      <c r="B99" s="456" t="s">
        <v>115</v>
      </c>
      <c r="C99" s="124">
        <v>2111</v>
      </c>
      <c r="D99" s="125"/>
      <c r="E99" s="125"/>
      <c r="F99" s="125"/>
      <c r="G99" s="100">
        <f t="shared" si="1"/>
        <v>0</v>
      </c>
      <c r="H99" s="125">
        <v>214.1</v>
      </c>
      <c r="I99" s="125"/>
      <c r="J99" s="125"/>
      <c r="K99" s="159"/>
      <c r="L99" s="125"/>
      <c r="M99" s="159">
        <f>H99+I99+K99</f>
        <v>214.1</v>
      </c>
      <c r="N99" s="430" t="s">
        <v>259</v>
      </c>
      <c r="O99" s="51"/>
      <c r="P99" s="51"/>
      <c r="Q99" s="122"/>
    </row>
    <row r="100" spans="1:17">
      <c r="A100" s="412"/>
      <c r="B100" s="456"/>
      <c r="C100" s="6">
        <v>2121</v>
      </c>
      <c r="D100" s="100"/>
      <c r="E100" s="100"/>
      <c r="F100" s="100"/>
      <c r="G100" s="100">
        <f t="shared" si="1"/>
        <v>0</v>
      </c>
      <c r="H100" s="100">
        <v>29.7</v>
      </c>
      <c r="I100" s="100"/>
      <c r="J100" s="100"/>
      <c r="K100" s="100"/>
      <c r="L100" s="100"/>
      <c r="M100" s="159">
        <f t="shared" ref="M100:M139" si="2">H100+I100+K100</f>
        <v>29.7</v>
      </c>
      <c r="N100" s="424"/>
      <c r="O100" s="51"/>
      <c r="P100" s="51"/>
      <c r="Q100" s="122"/>
    </row>
    <row r="101" spans="1:17">
      <c r="A101" s="412"/>
      <c r="B101" s="457"/>
      <c r="C101" s="6">
        <v>2215</v>
      </c>
      <c r="D101" s="100"/>
      <c r="E101" s="100"/>
      <c r="F101" s="100"/>
      <c r="G101" s="100">
        <f t="shared" si="1"/>
        <v>0</v>
      </c>
      <c r="H101" s="100">
        <v>5.5</v>
      </c>
      <c r="I101" s="100"/>
      <c r="J101" s="100"/>
      <c r="K101" s="101"/>
      <c r="L101" s="100"/>
      <c r="M101" s="159">
        <f t="shared" si="2"/>
        <v>5.5</v>
      </c>
      <c r="N101" s="249" t="s">
        <v>258</v>
      </c>
      <c r="O101" s="51"/>
      <c r="P101" s="51"/>
      <c r="Q101" s="122"/>
    </row>
    <row r="102" spans="1:17">
      <c r="A102" s="246">
        <v>20</v>
      </c>
      <c r="B102" s="259" t="s">
        <v>23</v>
      </c>
      <c r="C102" s="6">
        <v>2215</v>
      </c>
      <c r="D102" s="100"/>
      <c r="E102" s="100"/>
      <c r="F102" s="100"/>
      <c r="G102" s="100">
        <f t="shared" si="1"/>
        <v>0</v>
      </c>
      <c r="H102" s="100">
        <v>8.4</v>
      </c>
      <c r="I102" s="100"/>
      <c r="J102" s="100"/>
      <c r="K102" s="101"/>
      <c r="L102" s="100"/>
      <c r="M102" s="159">
        <f t="shared" si="2"/>
        <v>8.4</v>
      </c>
      <c r="N102" s="249" t="s">
        <v>258</v>
      </c>
      <c r="O102" s="51"/>
      <c r="P102" s="51"/>
      <c r="Q102" s="122"/>
    </row>
    <row r="103" spans="1:17">
      <c r="A103" s="246">
        <v>21</v>
      </c>
      <c r="B103" s="259" t="s">
        <v>126</v>
      </c>
      <c r="C103" s="6">
        <v>2215</v>
      </c>
      <c r="D103" s="100"/>
      <c r="E103" s="100"/>
      <c r="F103" s="100"/>
      <c r="G103" s="100">
        <f t="shared" si="1"/>
        <v>0</v>
      </c>
      <c r="H103" s="100">
        <v>8.4</v>
      </c>
      <c r="I103" s="100"/>
      <c r="J103" s="100"/>
      <c r="K103" s="101"/>
      <c r="L103" s="100"/>
      <c r="M103" s="159">
        <f t="shared" si="2"/>
        <v>8.4</v>
      </c>
      <c r="N103" s="249" t="s">
        <v>258</v>
      </c>
      <c r="O103" s="51"/>
      <c r="P103" s="51"/>
      <c r="Q103" s="122"/>
    </row>
    <row r="104" spans="1:17">
      <c r="A104" s="246">
        <v>22</v>
      </c>
      <c r="B104" s="259" t="s">
        <v>19</v>
      </c>
      <c r="C104" s="6">
        <v>2215</v>
      </c>
      <c r="D104" s="100"/>
      <c r="E104" s="100"/>
      <c r="F104" s="100"/>
      <c r="G104" s="100">
        <f t="shared" si="1"/>
        <v>0</v>
      </c>
      <c r="H104" s="100">
        <v>7.5</v>
      </c>
      <c r="I104" s="100"/>
      <c r="J104" s="100"/>
      <c r="K104" s="101"/>
      <c r="L104" s="100"/>
      <c r="M104" s="159">
        <f t="shared" si="2"/>
        <v>7.5</v>
      </c>
      <c r="N104" s="249" t="s">
        <v>258</v>
      </c>
      <c r="O104" s="51"/>
      <c r="P104" s="51"/>
      <c r="Q104" s="122"/>
    </row>
    <row r="105" spans="1:17">
      <c r="A105" s="412">
        <v>23</v>
      </c>
      <c r="B105" s="458" t="s">
        <v>123</v>
      </c>
      <c r="C105" s="6">
        <v>2111</v>
      </c>
      <c r="D105" s="100"/>
      <c r="E105" s="100"/>
      <c r="F105" s="100"/>
      <c r="G105" s="100">
        <f t="shared" si="1"/>
        <v>0</v>
      </c>
      <c r="H105" s="100">
        <v>145.30000000000001</v>
      </c>
      <c r="I105" s="100"/>
      <c r="J105" s="100"/>
      <c r="K105" s="100"/>
      <c r="L105" s="100"/>
      <c r="M105" s="159">
        <f t="shared" si="2"/>
        <v>145.30000000000001</v>
      </c>
      <c r="N105" s="424" t="s">
        <v>253</v>
      </c>
      <c r="O105" s="51"/>
      <c r="P105" s="51"/>
      <c r="Q105" s="122"/>
    </row>
    <row r="106" spans="1:17">
      <c r="A106" s="412"/>
      <c r="B106" s="456"/>
      <c r="C106" s="6">
        <v>2121</v>
      </c>
      <c r="D106" s="100"/>
      <c r="E106" s="100"/>
      <c r="F106" s="100"/>
      <c r="G106" s="100">
        <f t="shared" si="1"/>
        <v>0</v>
      </c>
      <c r="H106" s="100">
        <v>21.7</v>
      </c>
      <c r="I106" s="100"/>
      <c r="J106" s="100"/>
      <c r="K106" s="100"/>
      <c r="L106" s="100"/>
      <c r="M106" s="159">
        <f t="shared" si="2"/>
        <v>21.7</v>
      </c>
      <c r="N106" s="424"/>
      <c r="O106" s="51"/>
      <c r="P106" s="51"/>
      <c r="Q106" s="122"/>
    </row>
    <row r="107" spans="1:17">
      <c r="A107" s="412"/>
      <c r="B107" s="456"/>
      <c r="C107" s="6">
        <v>2215</v>
      </c>
      <c r="D107" s="100"/>
      <c r="E107" s="100"/>
      <c r="F107" s="100"/>
      <c r="G107" s="100">
        <f t="shared" si="1"/>
        <v>0</v>
      </c>
      <c r="H107" s="100">
        <v>99</v>
      </c>
      <c r="I107" s="100"/>
      <c r="J107" s="100"/>
      <c r="K107" s="100"/>
      <c r="L107" s="100"/>
      <c r="M107" s="159">
        <f t="shared" si="2"/>
        <v>99</v>
      </c>
      <c r="N107" s="249" t="s">
        <v>251</v>
      </c>
      <c r="O107" s="51"/>
      <c r="P107" s="51"/>
      <c r="Q107" s="122"/>
    </row>
    <row r="108" spans="1:17">
      <c r="A108" s="412"/>
      <c r="B108" s="456"/>
      <c r="C108" s="6">
        <v>2222</v>
      </c>
      <c r="D108" s="100"/>
      <c r="E108" s="100"/>
      <c r="F108" s="100"/>
      <c r="G108" s="100">
        <f t="shared" si="1"/>
        <v>0</v>
      </c>
      <c r="H108" s="100">
        <v>27.2</v>
      </c>
      <c r="I108" s="100"/>
      <c r="J108" s="100"/>
      <c r="K108" s="100"/>
      <c r="L108" s="100"/>
      <c r="M108" s="159">
        <f t="shared" si="2"/>
        <v>27.2</v>
      </c>
      <c r="N108" s="249" t="s">
        <v>255</v>
      </c>
      <c r="O108" s="51"/>
      <c r="P108" s="51"/>
      <c r="Q108" s="122"/>
    </row>
    <row r="109" spans="1:17">
      <c r="A109" s="412"/>
      <c r="B109" s="457"/>
      <c r="C109" s="6">
        <v>2222</v>
      </c>
      <c r="D109" s="100"/>
      <c r="E109" s="100"/>
      <c r="F109" s="100"/>
      <c r="G109" s="100">
        <f t="shared" si="1"/>
        <v>0</v>
      </c>
      <c r="H109" s="100">
        <v>15</v>
      </c>
      <c r="I109" s="100"/>
      <c r="J109" s="100"/>
      <c r="K109" s="100"/>
      <c r="L109" s="100"/>
      <c r="M109" s="159">
        <f t="shared" si="2"/>
        <v>15</v>
      </c>
      <c r="N109" s="249" t="s">
        <v>252</v>
      </c>
      <c r="O109" s="51"/>
      <c r="P109" s="51"/>
      <c r="Q109" s="122"/>
    </row>
    <row r="110" spans="1:17">
      <c r="A110" s="412">
        <v>24</v>
      </c>
      <c r="B110" s="429" t="s">
        <v>18</v>
      </c>
      <c r="C110" s="6">
        <v>2111</v>
      </c>
      <c r="D110" s="100"/>
      <c r="E110" s="100"/>
      <c r="F110" s="100"/>
      <c r="G110" s="100">
        <f t="shared" si="1"/>
        <v>0</v>
      </c>
      <c r="H110" s="100">
        <v>99.7</v>
      </c>
      <c r="I110" s="100"/>
      <c r="J110" s="100"/>
      <c r="K110" s="102"/>
      <c r="L110" s="100"/>
      <c r="M110" s="159">
        <f t="shared" si="2"/>
        <v>99.7</v>
      </c>
      <c r="N110" s="424" t="s">
        <v>261</v>
      </c>
      <c r="O110" s="51"/>
      <c r="P110" s="51"/>
      <c r="Q110" s="122"/>
    </row>
    <row r="111" spans="1:17">
      <c r="A111" s="412"/>
      <c r="B111" s="455"/>
      <c r="C111" s="6">
        <v>2121</v>
      </c>
      <c r="D111" s="100"/>
      <c r="E111" s="100"/>
      <c r="F111" s="100"/>
      <c r="G111" s="100">
        <f t="shared" si="1"/>
        <v>0</v>
      </c>
      <c r="H111" s="100">
        <v>17.2</v>
      </c>
      <c r="I111" s="100"/>
      <c r="J111" s="100"/>
      <c r="K111" s="102"/>
      <c r="L111" s="100"/>
      <c r="M111" s="159">
        <f t="shared" si="2"/>
        <v>17.2</v>
      </c>
      <c r="N111" s="424"/>
      <c r="O111" s="51"/>
      <c r="P111" s="51"/>
      <c r="Q111" s="122"/>
    </row>
    <row r="112" spans="1:17" ht="25.5">
      <c r="A112" s="412"/>
      <c r="B112" s="455"/>
      <c r="C112" s="6">
        <v>2222</v>
      </c>
      <c r="D112" s="100"/>
      <c r="E112" s="100"/>
      <c r="F112" s="100"/>
      <c r="G112" s="100">
        <f t="shared" si="1"/>
        <v>0</v>
      </c>
      <c r="H112" s="100">
        <v>745</v>
      </c>
      <c r="I112" s="100"/>
      <c r="J112" s="100"/>
      <c r="K112" s="102"/>
      <c r="L112" s="100"/>
      <c r="M112" s="159">
        <f t="shared" si="2"/>
        <v>745</v>
      </c>
      <c r="N112" s="249" t="s">
        <v>243</v>
      </c>
      <c r="O112" s="51"/>
      <c r="P112" s="51"/>
      <c r="Q112" s="122"/>
    </row>
    <row r="113" spans="1:17" ht="25.5">
      <c r="A113" s="412"/>
      <c r="B113" s="430"/>
      <c r="C113" s="6">
        <v>3113</v>
      </c>
      <c r="D113" s="100"/>
      <c r="E113" s="100"/>
      <c r="F113" s="100"/>
      <c r="G113" s="100">
        <f t="shared" si="1"/>
        <v>0</v>
      </c>
      <c r="H113" s="100">
        <v>119</v>
      </c>
      <c r="I113" s="100"/>
      <c r="J113" s="100"/>
      <c r="K113" s="102"/>
      <c r="L113" s="100"/>
      <c r="M113" s="159">
        <f t="shared" si="2"/>
        <v>119</v>
      </c>
      <c r="N113" s="249" t="s">
        <v>244</v>
      </c>
      <c r="O113" s="51"/>
      <c r="P113" s="51"/>
      <c r="Q113" s="122"/>
    </row>
    <row r="114" spans="1:17">
      <c r="A114" s="246">
        <v>25</v>
      </c>
      <c r="B114" s="252" t="s">
        <v>150</v>
      </c>
      <c r="C114" s="6">
        <v>2511</v>
      </c>
      <c r="D114" s="100"/>
      <c r="E114" s="100"/>
      <c r="F114" s="100"/>
      <c r="G114" s="100">
        <f t="shared" si="1"/>
        <v>0</v>
      </c>
      <c r="H114" s="100">
        <v>2500</v>
      </c>
      <c r="I114" s="100"/>
      <c r="J114" s="100"/>
      <c r="K114" s="102"/>
      <c r="L114" s="100"/>
      <c r="M114" s="159">
        <f t="shared" si="2"/>
        <v>2500</v>
      </c>
      <c r="N114" s="247" t="s">
        <v>245</v>
      </c>
      <c r="O114" s="51"/>
      <c r="P114" s="51"/>
      <c r="Q114" s="122"/>
    </row>
    <row r="115" spans="1:17">
      <c r="A115" s="246">
        <v>26</v>
      </c>
      <c r="B115" s="259" t="s">
        <v>17</v>
      </c>
      <c r="C115" s="6">
        <v>2222</v>
      </c>
      <c r="D115" s="100"/>
      <c r="E115" s="100"/>
      <c r="F115" s="100"/>
      <c r="G115" s="100">
        <f t="shared" si="1"/>
        <v>0</v>
      </c>
      <c r="H115" s="100">
        <v>150</v>
      </c>
      <c r="I115" s="100"/>
      <c r="J115" s="100"/>
      <c r="K115" s="100"/>
      <c r="L115" s="100"/>
      <c r="M115" s="159">
        <f t="shared" si="2"/>
        <v>150</v>
      </c>
      <c r="N115" s="249" t="s">
        <v>239</v>
      </c>
      <c r="O115" s="51"/>
      <c r="P115" s="51"/>
      <c r="Q115" s="122"/>
    </row>
    <row r="116" spans="1:17">
      <c r="A116" s="428">
        <v>27</v>
      </c>
      <c r="B116" s="429" t="s">
        <v>28</v>
      </c>
      <c r="C116" s="6">
        <v>3141</v>
      </c>
      <c r="D116" s="100"/>
      <c r="E116" s="100"/>
      <c r="F116" s="100"/>
      <c r="G116" s="100">
        <f t="shared" si="1"/>
        <v>0</v>
      </c>
      <c r="H116" s="100">
        <v>24000</v>
      </c>
      <c r="I116" s="100"/>
      <c r="J116" s="100"/>
      <c r="K116" s="102"/>
      <c r="L116" s="100"/>
      <c r="M116" s="159">
        <f t="shared" si="2"/>
        <v>24000</v>
      </c>
      <c r="N116" s="424" t="s">
        <v>262</v>
      </c>
      <c r="O116" s="51"/>
      <c r="P116" s="51"/>
      <c r="Q116" s="122"/>
    </row>
    <row r="117" spans="1:17">
      <c r="A117" s="418"/>
      <c r="B117" s="455"/>
      <c r="C117" s="6">
        <v>2215</v>
      </c>
      <c r="D117" s="100"/>
      <c r="E117" s="100"/>
      <c r="F117" s="100"/>
      <c r="G117" s="100">
        <f t="shared" si="1"/>
        <v>0</v>
      </c>
      <c r="H117" s="100">
        <v>16000</v>
      </c>
      <c r="I117" s="100"/>
      <c r="J117" s="100"/>
      <c r="K117" s="102"/>
      <c r="L117" s="100"/>
      <c r="M117" s="159">
        <f t="shared" si="2"/>
        <v>16000</v>
      </c>
      <c r="N117" s="424"/>
      <c r="O117" s="51"/>
      <c r="P117" s="51"/>
      <c r="Q117" s="122"/>
    </row>
    <row r="118" spans="1:17" ht="25.5">
      <c r="A118" s="418"/>
      <c r="B118" s="455"/>
      <c r="C118" s="6">
        <v>2215</v>
      </c>
      <c r="D118" s="100"/>
      <c r="E118" s="100"/>
      <c r="F118" s="100"/>
      <c r="G118" s="100">
        <f t="shared" si="1"/>
        <v>0</v>
      </c>
      <c r="H118" s="100">
        <v>100</v>
      </c>
      <c r="I118" s="100"/>
      <c r="J118" s="100"/>
      <c r="K118" s="102"/>
      <c r="L118" s="100"/>
      <c r="M118" s="159">
        <f t="shared" si="2"/>
        <v>100</v>
      </c>
      <c r="N118" s="247" t="s">
        <v>242</v>
      </c>
      <c r="O118" s="51"/>
      <c r="P118" s="51"/>
      <c r="Q118" s="122"/>
    </row>
    <row r="119" spans="1:17">
      <c r="A119" s="450"/>
      <c r="B119" s="430"/>
      <c r="C119" s="6">
        <v>2215</v>
      </c>
      <c r="D119" s="100"/>
      <c r="E119" s="100"/>
      <c r="F119" s="100"/>
      <c r="G119" s="100">
        <f t="shared" si="1"/>
        <v>0</v>
      </c>
      <c r="H119" s="100"/>
      <c r="I119" s="100">
        <v>200</v>
      </c>
      <c r="J119" s="100"/>
      <c r="K119" s="102"/>
      <c r="L119" s="100"/>
      <c r="M119" s="159">
        <f t="shared" si="2"/>
        <v>200</v>
      </c>
      <c r="N119" s="247" t="s">
        <v>275</v>
      </c>
      <c r="O119" s="51"/>
      <c r="P119" s="51"/>
      <c r="Q119" s="122"/>
    </row>
    <row r="120" spans="1:17">
      <c r="A120" s="246">
        <v>28</v>
      </c>
      <c r="B120" s="252" t="s">
        <v>139</v>
      </c>
      <c r="C120" s="6">
        <v>2215</v>
      </c>
      <c r="D120" s="100"/>
      <c r="E120" s="100"/>
      <c r="F120" s="100"/>
      <c r="G120" s="100">
        <f t="shared" si="1"/>
        <v>0</v>
      </c>
      <c r="H120" s="100">
        <v>6</v>
      </c>
      <c r="I120" s="100"/>
      <c r="J120" s="100"/>
      <c r="K120" s="102"/>
      <c r="L120" s="100"/>
      <c r="M120" s="159">
        <f t="shared" si="2"/>
        <v>6</v>
      </c>
      <c r="N120" s="249" t="s">
        <v>258</v>
      </c>
      <c r="O120" s="51"/>
      <c r="P120" s="51"/>
      <c r="Q120" s="122"/>
    </row>
    <row r="121" spans="1:17" ht="25.5">
      <c r="A121" s="246">
        <v>29</v>
      </c>
      <c r="B121" s="252" t="s">
        <v>22</v>
      </c>
      <c r="C121" s="6">
        <v>2215</v>
      </c>
      <c r="D121" s="100"/>
      <c r="E121" s="100"/>
      <c r="F121" s="100"/>
      <c r="G121" s="100">
        <f t="shared" si="1"/>
        <v>0</v>
      </c>
      <c r="H121" s="100">
        <v>581</v>
      </c>
      <c r="I121" s="100"/>
      <c r="J121" s="100"/>
      <c r="K121" s="102"/>
      <c r="L121" s="100"/>
      <c r="M121" s="159">
        <f t="shared" si="2"/>
        <v>581</v>
      </c>
      <c r="N121" s="249" t="s">
        <v>238</v>
      </c>
      <c r="O121" s="51"/>
      <c r="P121" s="51"/>
      <c r="Q121" s="122"/>
    </row>
    <row r="122" spans="1:17" ht="25.5">
      <c r="A122" s="246">
        <v>30</v>
      </c>
      <c r="B122" s="252" t="s">
        <v>146</v>
      </c>
      <c r="C122" s="6">
        <v>2215</v>
      </c>
      <c r="D122" s="100"/>
      <c r="E122" s="100"/>
      <c r="F122" s="100"/>
      <c r="G122" s="100">
        <f t="shared" si="1"/>
        <v>0</v>
      </c>
      <c r="H122" s="100">
        <v>675.8</v>
      </c>
      <c r="I122" s="100"/>
      <c r="J122" s="100"/>
      <c r="K122" s="102"/>
      <c r="L122" s="100"/>
      <c r="M122" s="159">
        <f t="shared" si="2"/>
        <v>675.8</v>
      </c>
      <c r="N122" s="249" t="s">
        <v>238</v>
      </c>
      <c r="O122" s="51"/>
      <c r="P122" s="51"/>
      <c r="Q122" s="122"/>
    </row>
    <row r="123" spans="1:17">
      <c r="A123" s="412">
        <v>31</v>
      </c>
      <c r="B123" s="429" t="s">
        <v>237</v>
      </c>
      <c r="C123" s="6">
        <v>2212</v>
      </c>
      <c r="D123" s="100"/>
      <c r="E123" s="100"/>
      <c r="F123" s="100"/>
      <c r="G123" s="100">
        <f t="shared" si="1"/>
        <v>0</v>
      </c>
      <c r="H123" s="100">
        <v>12</v>
      </c>
      <c r="I123" s="100"/>
      <c r="J123" s="100"/>
      <c r="K123" s="102"/>
      <c r="L123" s="100"/>
      <c r="M123" s="159">
        <f t="shared" si="2"/>
        <v>12</v>
      </c>
      <c r="N123" s="249" t="s">
        <v>264</v>
      </c>
      <c r="O123" s="51"/>
      <c r="P123" s="51"/>
      <c r="Q123" s="122"/>
    </row>
    <row r="124" spans="1:17">
      <c r="A124" s="412"/>
      <c r="B124" s="455"/>
      <c r="C124" s="6">
        <v>2215</v>
      </c>
      <c r="D124" s="100"/>
      <c r="E124" s="100"/>
      <c r="F124" s="100"/>
      <c r="G124" s="100">
        <f t="shared" si="1"/>
        <v>0</v>
      </c>
      <c r="H124" s="100">
        <v>6.4</v>
      </c>
      <c r="I124" s="100"/>
      <c r="J124" s="100"/>
      <c r="K124" s="102"/>
      <c r="L124" s="100"/>
      <c r="M124" s="159">
        <f t="shared" si="2"/>
        <v>6.4</v>
      </c>
      <c r="N124" s="249" t="s">
        <v>258</v>
      </c>
      <c r="O124" s="51"/>
      <c r="P124" s="51"/>
      <c r="Q124" s="122"/>
    </row>
    <row r="125" spans="1:17" ht="25.5">
      <c r="A125" s="412"/>
      <c r="B125" s="455"/>
      <c r="C125" s="6">
        <v>2215</v>
      </c>
      <c r="D125" s="100"/>
      <c r="E125" s="100"/>
      <c r="F125" s="100"/>
      <c r="G125" s="100">
        <f t="shared" si="1"/>
        <v>0</v>
      </c>
      <c r="H125" s="100">
        <v>120</v>
      </c>
      <c r="I125" s="100"/>
      <c r="J125" s="100"/>
      <c r="K125" s="102"/>
      <c r="L125" s="100"/>
      <c r="M125" s="159">
        <f t="shared" si="2"/>
        <v>120</v>
      </c>
      <c r="N125" s="249" t="s">
        <v>265</v>
      </c>
      <c r="O125" s="51"/>
      <c r="P125" s="51"/>
      <c r="Q125" s="122"/>
    </row>
    <row r="126" spans="1:17">
      <c r="A126" s="412"/>
      <c r="B126" s="455"/>
      <c r="C126" s="6">
        <v>2215</v>
      </c>
      <c r="D126" s="100"/>
      <c r="E126" s="100"/>
      <c r="F126" s="100"/>
      <c r="G126" s="100">
        <f t="shared" si="1"/>
        <v>0</v>
      </c>
      <c r="H126" s="100">
        <v>5</v>
      </c>
      <c r="I126" s="100"/>
      <c r="J126" s="100"/>
      <c r="K126" s="102"/>
      <c r="L126" s="100"/>
      <c r="M126" s="159">
        <f t="shared" si="2"/>
        <v>5</v>
      </c>
      <c r="N126" s="249" t="s">
        <v>266</v>
      </c>
      <c r="O126" s="51"/>
      <c r="P126" s="51"/>
      <c r="Q126" s="122"/>
    </row>
    <row r="127" spans="1:17">
      <c r="A127" s="412"/>
      <c r="B127" s="455"/>
      <c r="C127" s="6">
        <v>2222</v>
      </c>
      <c r="D127" s="100"/>
      <c r="E127" s="100"/>
      <c r="F127" s="100"/>
      <c r="G127" s="100">
        <f t="shared" si="1"/>
        <v>0</v>
      </c>
      <c r="H127" s="100">
        <v>72</v>
      </c>
      <c r="I127" s="100"/>
      <c r="J127" s="100"/>
      <c r="K127" s="102"/>
      <c r="L127" s="100"/>
      <c r="M127" s="159">
        <f t="shared" si="2"/>
        <v>72</v>
      </c>
      <c r="N127" s="249" t="s">
        <v>267</v>
      </c>
      <c r="O127" s="51"/>
      <c r="P127" s="51"/>
      <c r="Q127" s="122"/>
    </row>
    <row r="128" spans="1:17">
      <c r="A128" s="412"/>
      <c r="B128" s="455"/>
      <c r="C128" s="6">
        <v>2222</v>
      </c>
      <c r="D128" s="100"/>
      <c r="E128" s="100"/>
      <c r="F128" s="100"/>
      <c r="G128" s="100">
        <f t="shared" si="1"/>
        <v>0</v>
      </c>
      <c r="H128" s="100">
        <v>9</v>
      </c>
      <c r="I128" s="100"/>
      <c r="J128" s="100"/>
      <c r="K128" s="102"/>
      <c r="L128" s="100"/>
      <c r="M128" s="159">
        <f t="shared" si="2"/>
        <v>9</v>
      </c>
      <c r="N128" s="249" t="s">
        <v>268</v>
      </c>
      <c r="O128" s="51"/>
      <c r="P128" s="51"/>
      <c r="Q128" s="122"/>
    </row>
    <row r="129" spans="1:17" ht="25.5">
      <c r="A129" s="412"/>
      <c r="B129" s="455"/>
      <c r="C129" s="6">
        <v>2222</v>
      </c>
      <c r="D129" s="100"/>
      <c r="E129" s="100"/>
      <c r="F129" s="100"/>
      <c r="G129" s="100">
        <f t="shared" si="1"/>
        <v>0</v>
      </c>
      <c r="H129" s="100">
        <v>19.2</v>
      </c>
      <c r="I129" s="100"/>
      <c r="J129" s="100"/>
      <c r="K129" s="102"/>
      <c r="L129" s="100"/>
      <c r="M129" s="159">
        <f t="shared" si="2"/>
        <v>19.2</v>
      </c>
      <c r="N129" s="249" t="s">
        <v>269</v>
      </c>
      <c r="O129" s="51"/>
      <c r="P129" s="51"/>
      <c r="Q129" s="122"/>
    </row>
    <row r="130" spans="1:17" ht="25.5">
      <c r="A130" s="412"/>
      <c r="B130" s="455"/>
      <c r="C130" s="6">
        <v>2222</v>
      </c>
      <c r="D130" s="100"/>
      <c r="E130" s="100"/>
      <c r="F130" s="100"/>
      <c r="G130" s="100">
        <f t="shared" si="1"/>
        <v>0</v>
      </c>
      <c r="H130" s="100">
        <v>19.5</v>
      </c>
      <c r="I130" s="100"/>
      <c r="J130" s="100"/>
      <c r="K130" s="102"/>
      <c r="L130" s="100"/>
      <c r="M130" s="159">
        <f t="shared" si="2"/>
        <v>19.5</v>
      </c>
      <c r="N130" s="249" t="s">
        <v>270</v>
      </c>
      <c r="O130" s="51"/>
      <c r="P130" s="51"/>
      <c r="Q130" s="122"/>
    </row>
    <row r="131" spans="1:17">
      <c r="A131" s="412"/>
      <c r="B131" s="430"/>
      <c r="C131" s="6">
        <v>3112</v>
      </c>
      <c r="D131" s="100"/>
      <c r="E131" s="100"/>
      <c r="F131" s="100"/>
      <c r="G131" s="100">
        <f t="shared" si="1"/>
        <v>0</v>
      </c>
      <c r="H131" s="100">
        <v>53</v>
      </c>
      <c r="I131" s="100"/>
      <c r="J131" s="100"/>
      <c r="K131" s="102"/>
      <c r="L131" s="100"/>
      <c r="M131" s="159">
        <f t="shared" si="2"/>
        <v>53</v>
      </c>
      <c r="N131" s="249" t="s">
        <v>246</v>
      </c>
      <c r="O131" s="51"/>
      <c r="P131" s="51"/>
      <c r="Q131" s="122"/>
    </row>
    <row r="132" spans="1:17">
      <c r="A132" s="412">
        <v>32</v>
      </c>
      <c r="B132" s="429" t="s">
        <v>20</v>
      </c>
      <c r="C132" s="6">
        <v>2215</v>
      </c>
      <c r="D132" s="100"/>
      <c r="E132" s="100"/>
      <c r="F132" s="100"/>
      <c r="G132" s="100">
        <f t="shared" si="1"/>
        <v>0</v>
      </c>
      <c r="H132" s="100">
        <v>5.2</v>
      </c>
      <c r="I132" s="100"/>
      <c r="J132" s="100"/>
      <c r="K132" s="102"/>
      <c r="L132" s="100"/>
      <c r="M132" s="159">
        <f t="shared" si="2"/>
        <v>5.2</v>
      </c>
      <c r="N132" s="249" t="s">
        <v>258</v>
      </c>
      <c r="O132" s="51"/>
      <c r="P132" s="51"/>
      <c r="Q132" s="122"/>
    </row>
    <row r="133" spans="1:17">
      <c r="A133" s="412"/>
      <c r="B133" s="430"/>
      <c r="C133" s="6">
        <v>2231</v>
      </c>
      <c r="D133" s="100"/>
      <c r="E133" s="100"/>
      <c r="F133" s="100"/>
      <c r="G133" s="100">
        <f t="shared" si="1"/>
        <v>0</v>
      </c>
      <c r="H133" s="100">
        <v>5</v>
      </c>
      <c r="I133" s="100"/>
      <c r="J133" s="100"/>
      <c r="K133" s="102"/>
      <c r="L133" s="100"/>
      <c r="M133" s="159">
        <f t="shared" si="2"/>
        <v>5</v>
      </c>
      <c r="N133" s="249" t="s">
        <v>241</v>
      </c>
      <c r="O133" s="51"/>
      <c r="P133" s="51"/>
      <c r="Q133" s="122"/>
    </row>
    <row r="134" spans="1:17" ht="26.45" customHeight="1">
      <c r="A134" s="428">
        <v>33</v>
      </c>
      <c r="B134" s="429" t="s">
        <v>16</v>
      </c>
      <c r="C134" s="6">
        <v>3111</v>
      </c>
      <c r="D134" s="100"/>
      <c r="E134" s="100"/>
      <c r="F134" s="100"/>
      <c r="G134" s="100">
        <f t="shared" si="1"/>
        <v>0</v>
      </c>
      <c r="H134" s="100">
        <v>5129.3</v>
      </c>
      <c r="I134" s="100"/>
      <c r="J134" s="100"/>
      <c r="K134" s="102"/>
      <c r="L134" s="100"/>
      <c r="M134" s="159">
        <f t="shared" si="2"/>
        <v>5129.3</v>
      </c>
      <c r="N134" s="249" t="s">
        <v>271</v>
      </c>
      <c r="O134" s="51"/>
      <c r="P134" s="51"/>
      <c r="Q134" s="122"/>
    </row>
    <row r="135" spans="1:17" ht="25.5">
      <c r="A135" s="418"/>
      <c r="B135" s="455"/>
      <c r="C135" s="6">
        <v>3111</v>
      </c>
      <c r="D135" s="100"/>
      <c r="E135" s="100"/>
      <c r="F135" s="100"/>
      <c r="G135" s="100"/>
      <c r="H135" s="100"/>
      <c r="I135" s="100"/>
      <c r="J135" s="100"/>
      <c r="K135" s="102">
        <v>7000</v>
      </c>
      <c r="L135" s="100"/>
      <c r="M135" s="159">
        <f t="shared" si="2"/>
        <v>7000</v>
      </c>
      <c r="N135" s="256" t="s">
        <v>286</v>
      </c>
      <c r="O135" s="51"/>
      <c r="P135" s="51"/>
      <c r="Q135" s="122"/>
    </row>
    <row r="136" spans="1:17">
      <c r="A136" s="418"/>
      <c r="B136" s="455"/>
      <c r="C136" s="6">
        <v>3111</v>
      </c>
      <c r="D136" s="100"/>
      <c r="E136" s="100"/>
      <c r="F136" s="100"/>
      <c r="G136" s="100"/>
      <c r="H136" s="100"/>
      <c r="I136" s="100"/>
      <c r="J136" s="100"/>
      <c r="K136" s="102">
        <v>2965.2</v>
      </c>
      <c r="L136" s="100"/>
      <c r="M136" s="159">
        <f t="shared" si="2"/>
        <v>2965.2</v>
      </c>
      <c r="N136" s="256" t="s">
        <v>287</v>
      </c>
      <c r="O136" s="51"/>
      <c r="P136" s="51"/>
      <c r="Q136" s="122"/>
    </row>
    <row r="137" spans="1:17">
      <c r="A137" s="450"/>
      <c r="B137" s="430"/>
      <c r="C137" s="6">
        <v>3111</v>
      </c>
      <c r="D137" s="100"/>
      <c r="E137" s="100"/>
      <c r="F137" s="100"/>
      <c r="G137" s="100"/>
      <c r="H137" s="100"/>
      <c r="I137" s="100"/>
      <c r="J137" s="100"/>
      <c r="K137" s="102">
        <v>5500</v>
      </c>
      <c r="L137" s="100"/>
      <c r="M137" s="159">
        <f t="shared" si="2"/>
        <v>5500</v>
      </c>
      <c r="N137" s="256" t="s">
        <v>288</v>
      </c>
      <c r="O137" s="51"/>
      <c r="P137" s="51"/>
      <c r="Q137" s="122"/>
    </row>
    <row r="138" spans="1:17" ht="25.5">
      <c r="A138" s="248">
        <v>34</v>
      </c>
      <c r="B138" s="260" t="s">
        <v>272</v>
      </c>
      <c r="C138" s="6"/>
      <c r="D138" s="100">
        <v>40000</v>
      </c>
      <c r="E138" s="100"/>
      <c r="F138" s="100">
        <v>20000</v>
      </c>
      <c r="G138" s="100">
        <f t="shared" si="1"/>
        <v>60000</v>
      </c>
      <c r="H138" s="100"/>
      <c r="I138" s="100"/>
      <c r="J138" s="100"/>
      <c r="K138" s="100"/>
      <c r="L138" s="100"/>
      <c r="M138" s="159"/>
      <c r="N138" s="249" t="s">
        <v>250</v>
      </c>
      <c r="Q138" s="122"/>
    </row>
    <row r="139" spans="1:17">
      <c r="A139" s="248"/>
      <c r="B139" s="249"/>
      <c r="C139" s="6"/>
      <c r="D139" s="100"/>
      <c r="E139" s="100"/>
      <c r="F139" s="100"/>
      <c r="G139" s="100"/>
      <c r="H139" s="100"/>
      <c r="I139" s="100"/>
      <c r="J139" s="100"/>
      <c r="K139" s="100"/>
      <c r="L139" s="100"/>
      <c r="M139" s="159">
        <f t="shared" si="2"/>
        <v>0</v>
      </c>
      <c r="N139" s="249"/>
      <c r="Q139" s="122"/>
    </row>
    <row r="140" spans="1:17">
      <c r="A140" s="246"/>
      <c r="B140" s="248"/>
      <c r="C140" s="6"/>
      <c r="D140" s="99">
        <f t="shared" ref="D140:I140" si="3">SUM(D10:D139)</f>
        <v>51031.1</v>
      </c>
      <c r="E140" s="99">
        <f t="shared" si="3"/>
        <v>3201.5</v>
      </c>
      <c r="F140" s="99">
        <f t="shared" si="3"/>
        <v>20000</v>
      </c>
      <c r="G140" s="99">
        <f t="shared" si="3"/>
        <v>74232.600000000006</v>
      </c>
      <c r="H140" s="99">
        <f t="shared" si="3"/>
        <v>51031.1</v>
      </c>
      <c r="I140" s="99">
        <f t="shared" si="3"/>
        <v>200</v>
      </c>
      <c r="J140" s="99">
        <f>SUM(J10:J138)</f>
        <v>0</v>
      </c>
      <c r="K140" s="99">
        <f>SUM(K10:K138)</f>
        <v>15465.2</v>
      </c>
      <c r="L140" s="99">
        <f>SUM(L10:L138)</f>
        <v>0</v>
      </c>
      <c r="M140" s="99">
        <f>SUM(M10:M138)</f>
        <v>66696.299999999988</v>
      </c>
      <c r="N140" s="249"/>
      <c r="O140" s="51"/>
      <c r="P140" s="51"/>
      <c r="Q140" s="155"/>
    </row>
    <row r="141" spans="1:17">
      <c r="A141" s="53"/>
      <c r="B141" s="42"/>
      <c r="C141" s="34"/>
      <c r="D141" s="103"/>
      <c r="E141" s="103"/>
      <c r="F141" s="103"/>
      <c r="G141" s="103"/>
      <c r="H141" s="51"/>
      <c r="I141" s="51"/>
      <c r="Q141" s="48"/>
    </row>
    <row r="142" spans="1:17">
      <c r="A142" s="53"/>
      <c r="B142" s="42"/>
      <c r="C142" s="34"/>
      <c r="D142" s="103"/>
      <c r="E142" s="103"/>
      <c r="F142" s="103"/>
      <c r="G142" s="103"/>
      <c r="Q142" s="48"/>
    </row>
    <row r="143" spans="1:17">
      <c r="A143" s="53"/>
      <c r="B143" s="42"/>
      <c r="C143" s="34"/>
      <c r="D143" s="43"/>
      <c r="E143" s="43"/>
      <c r="F143" s="43"/>
      <c r="G143" s="43"/>
      <c r="Q143" s="48"/>
    </row>
    <row r="144" spans="1:17">
      <c r="A144" s="53"/>
      <c r="B144" s="42"/>
      <c r="C144" s="34"/>
      <c r="D144" s="43"/>
      <c r="E144" s="43"/>
      <c r="F144" s="43"/>
      <c r="G144" s="43"/>
      <c r="Q144" s="48"/>
    </row>
    <row r="145" spans="1:17">
      <c r="Q145" s="48"/>
    </row>
    <row r="146" spans="1:17">
      <c r="B146" s="46"/>
      <c r="Q146" s="48"/>
    </row>
    <row r="147" spans="1:17">
      <c r="Q147" s="48"/>
    </row>
    <row r="148" spans="1:17">
      <c r="A148" s="34"/>
      <c r="B148" s="53"/>
      <c r="C148" s="53"/>
      <c r="D148" s="45"/>
      <c r="E148" s="45"/>
      <c r="F148" s="45"/>
      <c r="G148" s="45"/>
      <c r="Q148" s="48"/>
    </row>
    <row r="149" spans="1:17">
      <c r="A149" s="250"/>
      <c r="B149" s="250"/>
      <c r="C149" s="250"/>
      <c r="D149" s="250"/>
      <c r="E149" s="250"/>
      <c r="F149" s="258"/>
      <c r="G149" s="258"/>
      <c r="Q149" s="48"/>
    </row>
    <row r="150" spans="1:17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P150" s="51"/>
    </row>
    <row r="151" spans="1:17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</row>
    <row r="152" spans="1:17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</row>
    <row r="153" spans="1:17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</row>
    <row r="154" spans="1:17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</row>
    <row r="155" spans="1:17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</row>
    <row r="156" spans="1:17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</row>
    <row r="157" spans="1:17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</row>
    <row r="158" spans="1:17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</row>
    <row r="159" spans="1:17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</row>
    <row r="160" spans="1:17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</row>
    <row r="161" spans="1:14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</row>
    <row r="162" spans="1:14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</row>
    <row r="163" spans="1:14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</row>
    <row r="164" spans="1:14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</row>
    <row r="165" spans="1:14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</row>
    <row r="166" spans="1:14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</row>
    <row r="167" spans="1:14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</row>
    <row r="168" spans="1:14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</row>
    <row r="169" spans="1:14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</row>
    <row r="170" spans="1:14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</row>
    <row r="171" spans="1:14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</row>
    <row r="172" spans="1:14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</row>
    <row r="173" spans="1:14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</row>
    <row r="174" spans="1:14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</row>
    <row r="175" spans="1:14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</row>
    <row r="176" spans="1:14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</row>
    <row r="177" spans="1:14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</row>
    <row r="178" spans="1:14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</row>
    <row r="179" spans="1:14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</row>
    <row r="180" spans="1:14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</row>
    <row r="181" spans="1:14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</row>
    <row r="182" spans="1:14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</row>
    <row r="183" spans="1:14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</row>
    <row r="184" spans="1:14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</row>
    <row r="185" spans="1:14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</row>
    <row r="186" spans="1:14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</row>
    <row r="187" spans="1:14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</row>
    <row r="188" spans="1:14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</row>
    <row r="189" spans="1:14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</row>
    <row r="190" spans="1:14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</row>
    <row r="191" spans="1:14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</row>
    <row r="192" spans="1:14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</row>
    <row r="193" spans="1:14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</row>
    <row r="194" spans="1:14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</row>
    <row r="195" spans="1:14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</row>
    <row r="196" spans="1:14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</row>
    <row r="197" spans="1:14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</row>
    <row r="198" spans="1:14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</row>
    <row r="199" spans="1:14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</row>
    <row r="200" spans="1:14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</row>
    <row r="201" spans="1:14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</row>
    <row r="202" spans="1:14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</row>
    <row r="203" spans="1:14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</row>
    <row r="204" spans="1:14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</row>
    <row r="205" spans="1:14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</row>
    <row r="206" spans="1:14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</row>
    <row r="207" spans="1:14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</row>
    <row r="208" spans="1:14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</row>
    <row r="209" spans="1:14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</row>
    <row r="210" spans="1:14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</row>
    <row r="211" spans="1:14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</row>
    <row r="212" spans="1:14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</row>
    <row r="213" spans="1:14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</row>
    <row r="214" spans="1:14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</row>
    <row r="215" spans="1:14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</row>
    <row r="216" spans="1:14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</row>
    <row r="217" spans="1:14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</row>
    <row r="218" spans="1:14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</row>
    <row r="219" spans="1:14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</row>
    <row r="220" spans="1:14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</row>
    <row r="221" spans="1:14">
      <c r="A221" s="49"/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</row>
    <row r="222" spans="1:14">
      <c r="A222" s="49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</row>
    <row r="223" spans="1:14">
      <c r="A223" s="49"/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</row>
  </sheetData>
  <mergeCells count="67">
    <mergeCell ref="A134:A137"/>
    <mergeCell ref="B134:B137"/>
    <mergeCell ref="A7:N7"/>
    <mergeCell ref="A19:A23"/>
    <mergeCell ref="B19:B23"/>
    <mergeCell ref="N19:N23"/>
    <mergeCell ref="A25:A31"/>
    <mergeCell ref="B25:B31"/>
    <mergeCell ref="N25:N31"/>
    <mergeCell ref="N10:N11"/>
    <mergeCell ref="B14:B15"/>
    <mergeCell ref="A14:A15"/>
    <mergeCell ref="B10:B13"/>
    <mergeCell ref="A10:A13"/>
    <mergeCell ref="N12:N13"/>
    <mergeCell ref="N14:N15"/>
    <mergeCell ref="N32:N33"/>
    <mergeCell ref="A37:A42"/>
    <mergeCell ref="B37:B42"/>
    <mergeCell ref="N37:N42"/>
    <mergeCell ref="B32:B35"/>
    <mergeCell ref="A32:A35"/>
    <mergeCell ref="N34:N35"/>
    <mergeCell ref="A43:A44"/>
    <mergeCell ref="B43:B44"/>
    <mergeCell ref="N45:N48"/>
    <mergeCell ref="A50:A54"/>
    <mergeCell ref="B50:B54"/>
    <mergeCell ref="N50:N54"/>
    <mergeCell ref="B45:B49"/>
    <mergeCell ref="A45:A49"/>
    <mergeCell ref="A55:A60"/>
    <mergeCell ref="B55:B60"/>
    <mergeCell ref="N55:N60"/>
    <mergeCell ref="A61:A63"/>
    <mergeCell ref="B61:B63"/>
    <mergeCell ref="N61:N63"/>
    <mergeCell ref="A64:A71"/>
    <mergeCell ref="B64:B71"/>
    <mergeCell ref="N64:N65"/>
    <mergeCell ref="N66:N67"/>
    <mergeCell ref="A72:A73"/>
    <mergeCell ref="B72:B73"/>
    <mergeCell ref="A75:A82"/>
    <mergeCell ref="B75:B82"/>
    <mergeCell ref="N75:N77"/>
    <mergeCell ref="A83:A94"/>
    <mergeCell ref="B83:B94"/>
    <mergeCell ref="N83:N87"/>
    <mergeCell ref="N110:N111"/>
    <mergeCell ref="N116:N117"/>
    <mergeCell ref="B116:B119"/>
    <mergeCell ref="A116:A119"/>
    <mergeCell ref="A95:A97"/>
    <mergeCell ref="B95:B97"/>
    <mergeCell ref="A99:A101"/>
    <mergeCell ref="B99:B101"/>
    <mergeCell ref="N99:N100"/>
    <mergeCell ref="A105:A109"/>
    <mergeCell ref="B105:B109"/>
    <mergeCell ref="N105:N106"/>
    <mergeCell ref="A123:A131"/>
    <mergeCell ref="B123:B131"/>
    <mergeCell ref="A132:A133"/>
    <mergeCell ref="B132:B133"/>
    <mergeCell ref="A110:A113"/>
    <mergeCell ref="B110:B113"/>
  </mergeCells>
  <pageMargins left="0.39370078740157483" right="0.39370078740157483" top="0.39370078740157483" bottom="0.39370078740157483" header="0.31496062992125984" footer="0.31496062992125984"/>
  <pageSetup paperSize="9" scale="73" fitToHeight="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5"/>
  <sheetViews>
    <sheetView topLeftCell="A98" workbookViewId="0">
      <selection activeCell="A107" sqref="A1:XFD1048576"/>
    </sheetView>
  </sheetViews>
  <sheetFormatPr defaultColWidth="9.140625" defaultRowHeight="12.75"/>
  <cols>
    <col min="1" max="1" width="3" style="48" bestFit="1" customWidth="1"/>
    <col min="2" max="2" width="29.5703125" style="48" customWidth="1"/>
    <col min="3" max="3" width="8.42578125" style="48" bestFit="1" customWidth="1"/>
    <col min="4" max="4" width="18.42578125" style="48" hidden="1" customWidth="1"/>
    <col min="5" max="6" width="12.5703125" style="48" hidden="1" customWidth="1"/>
    <col min="7" max="7" width="12.5703125" style="277" customWidth="1"/>
    <col min="8" max="9" width="12.140625" style="277" hidden="1" customWidth="1"/>
    <col min="10" max="10" width="13" style="277" hidden="1" customWidth="1"/>
    <col min="11" max="11" width="11.5703125" style="277" hidden="1" customWidth="1"/>
    <col min="12" max="12" width="9.42578125" style="277" hidden="1" customWidth="1"/>
    <col min="13" max="13" width="9" style="277" customWidth="1"/>
    <col min="14" max="14" width="40" style="48" customWidth="1"/>
    <col min="15" max="16" width="9.140625" style="48"/>
    <col min="17" max="17" width="9.140625" style="46"/>
    <col min="18" max="16384" width="9.140625" style="48"/>
  </cols>
  <sheetData>
    <row r="1" spans="1:17">
      <c r="M1" s="278"/>
      <c r="N1" s="3" t="s">
        <v>0</v>
      </c>
    </row>
    <row r="2" spans="1:17">
      <c r="M2" s="278"/>
      <c r="N2" s="32" t="s">
        <v>296</v>
      </c>
    </row>
    <row r="3" spans="1:17">
      <c r="M3" s="278"/>
      <c r="N3" s="3" t="s">
        <v>295</v>
      </c>
    </row>
    <row r="4" spans="1:17">
      <c r="M4" s="278"/>
      <c r="N4" s="3" t="s">
        <v>294</v>
      </c>
    </row>
    <row r="5" spans="1:17">
      <c r="M5" s="278"/>
      <c r="N5" s="35" t="s">
        <v>232</v>
      </c>
    </row>
    <row r="6" spans="1:17">
      <c r="N6" s="35"/>
    </row>
    <row r="7" spans="1:17" ht="27" customHeight="1">
      <c r="A7" s="425" t="s">
        <v>112</v>
      </c>
      <c r="B7" s="426"/>
      <c r="C7" s="426"/>
      <c r="D7" s="426"/>
      <c r="E7" s="426"/>
      <c r="F7" s="426"/>
      <c r="G7" s="426"/>
      <c r="H7" s="426"/>
      <c r="I7" s="426"/>
      <c r="J7" s="426"/>
      <c r="K7" s="426"/>
      <c r="L7" s="426"/>
      <c r="M7" s="426"/>
      <c r="N7" s="426"/>
    </row>
    <row r="8" spans="1:17" ht="39" customHeight="1">
      <c r="A8" s="165" t="s">
        <v>2</v>
      </c>
      <c r="B8" s="165" t="s">
        <v>25</v>
      </c>
      <c r="C8" s="165" t="s">
        <v>113</v>
      </c>
      <c r="D8" s="30" t="s">
        <v>273</v>
      </c>
      <c r="E8" s="30" t="s">
        <v>281</v>
      </c>
      <c r="F8" s="30" t="s">
        <v>284</v>
      </c>
      <c r="G8" s="279" t="s">
        <v>285</v>
      </c>
      <c r="H8" s="279" t="s">
        <v>235</v>
      </c>
      <c r="I8" s="279" t="s">
        <v>274</v>
      </c>
      <c r="J8" s="279" t="s">
        <v>256</v>
      </c>
      <c r="K8" s="279" t="s">
        <v>257</v>
      </c>
      <c r="L8" s="279" t="s">
        <v>234</v>
      </c>
      <c r="M8" s="279" t="s">
        <v>283</v>
      </c>
      <c r="N8" s="165" t="s">
        <v>114</v>
      </c>
    </row>
    <row r="9" spans="1:17">
      <c r="A9" s="44">
        <v>1</v>
      </c>
      <c r="B9" s="44">
        <v>2</v>
      </c>
      <c r="C9" s="44">
        <v>3</v>
      </c>
      <c r="D9" s="44">
        <v>4</v>
      </c>
      <c r="E9" s="44"/>
      <c r="F9" s="44"/>
      <c r="G9" s="280"/>
      <c r="H9" s="280">
        <v>5</v>
      </c>
      <c r="I9" s="280"/>
      <c r="J9" s="280">
        <v>6</v>
      </c>
      <c r="K9" s="280">
        <v>7</v>
      </c>
      <c r="L9" s="280">
        <v>8</v>
      </c>
      <c r="M9" s="280">
        <v>9</v>
      </c>
      <c r="N9" s="44">
        <v>10</v>
      </c>
    </row>
    <row r="10" spans="1:17">
      <c r="A10" s="428">
        <v>1</v>
      </c>
      <c r="B10" s="458" t="s">
        <v>115</v>
      </c>
      <c r="C10" s="6">
        <v>2222</v>
      </c>
      <c r="D10" s="100">
        <v>3.5</v>
      </c>
      <c r="E10" s="100"/>
      <c r="F10" s="100"/>
      <c r="G10" s="281">
        <f>+D10+E10+F10</f>
        <v>3.5</v>
      </c>
      <c r="H10" s="281"/>
      <c r="I10" s="281"/>
      <c r="J10" s="281"/>
      <c r="K10" s="282"/>
      <c r="L10" s="281"/>
      <c r="M10" s="282"/>
      <c r="N10" s="429" t="s">
        <v>254</v>
      </c>
    </row>
    <row r="11" spans="1:17">
      <c r="A11" s="418"/>
      <c r="B11" s="456"/>
      <c r="C11" s="6">
        <v>3112</v>
      </c>
      <c r="D11" s="100">
        <v>10.1</v>
      </c>
      <c r="E11" s="100"/>
      <c r="F11" s="100"/>
      <c r="G11" s="281">
        <f t="shared" ref="G11:G74" si="0">+D11+E11+F11</f>
        <v>10.1</v>
      </c>
      <c r="H11" s="281"/>
      <c r="I11" s="281"/>
      <c r="J11" s="281"/>
      <c r="K11" s="282"/>
      <c r="L11" s="281"/>
      <c r="M11" s="282"/>
      <c r="N11" s="430"/>
    </row>
    <row r="12" spans="1:17">
      <c r="A12" s="418"/>
      <c r="B12" s="456"/>
      <c r="C12" s="6">
        <v>2111</v>
      </c>
      <c r="D12" s="100">
        <v>55.3</v>
      </c>
      <c r="E12" s="100"/>
      <c r="F12" s="100"/>
      <c r="G12" s="281">
        <f t="shared" si="0"/>
        <v>55.3</v>
      </c>
      <c r="H12" s="281"/>
      <c r="I12" s="281"/>
      <c r="J12" s="281"/>
      <c r="K12" s="282"/>
      <c r="L12" s="281"/>
      <c r="M12" s="282"/>
      <c r="N12" s="429" t="s">
        <v>298</v>
      </c>
    </row>
    <row r="13" spans="1:17">
      <c r="A13" s="450"/>
      <c r="B13" s="457"/>
      <c r="C13" s="6">
        <v>2121</v>
      </c>
      <c r="D13" s="100">
        <v>9.5</v>
      </c>
      <c r="E13" s="100"/>
      <c r="F13" s="100"/>
      <c r="G13" s="281">
        <f t="shared" si="0"/>
        <v>9.5</v>
      </c>
      <c r="H13" s="281"/>
      <c r="I13" s="281"/>
      <c r="J13" s="281"/>
      <c r="K13" s="282"/>
      <c r="L13" s="281"/>
      <c r="M13" s="282"/>
      <c r="N13" s="430"/>
    </row>
    <row r="14" spans="1:17">
      <c r="A14" s="428">
        <v>2</v>
      </c>
      <c r="B14" s="458" t="s">
        <v>23</v>
      </c>
      <c r="C14" s="6">
        <v>2215</v>
      </c>
      <c r="D14" s="100">
        <v>3.4</v>
      </c>
      <c r="E14" s="100"/>
      <c r="F14" s="100"/>
      <c r="G14" s="281">
        <f t="shared" si="0"/>
        <v>3.4</v>
      </c>
      <c r="H14" s="281"/>
      <c r="I14" s="281"/>
      <c r="J14" s="281"/>
      <c r="K14" s="281"/>
      <c r="L14" s="281"/>
      <c r="M14" s="281"/>
      <c r="N14" s="429" t="s">
        <v>254</v>
      </c>
      <c r="O14" s="51"/>
      <c r="P14" s="51"/>
      <c r="Q14" s="122"/>
    </row>
    <row r="15" spans="1:17">
      <c r="A15" s="450"/>
      <c r="B15" s="457"/>
      <c r="C15" s="6">
        <v>2218</v>
      </c>
      <c r="D15" s="100">
        <v>33.5</v>
      </c>
      <c r="E15" s="100"/>
      <c r="F15" s="100"/>
      <c r="G15" s="281">
        <f t="shared" si="0"/>
        <v>33.5</v>
      </c>
      <c r="H15" s="281"/>
      <c r="I15" s="281"/>
      <c r="J15" s="281"/>
      <c r="K15" s="281"/>
      <c r="L15" s="281"/>
      <c r="M15" s="281"/>
      <c r="N15" s="430"/>
      <c r="O15" s="51"/>
      <c r="P15" s="51"/>
      <c r="Q15" s="122"/>
    </row>
    <row r="16" spans="1:17" s="52" customFormat="1" hidden="1">
      <c r="A16" s="253"/>
      <c r="B16" s="261" t="s">
        <v>117</v>
      </c>
      <c r="C16" s="6"/>
      <c r="D16" s="100"/>
      <c r="E16" s="100"/>
      <c r="F16" s="100"/>
      <c r="G16" s="281">
        <f t="shared" si="0"/>
        <v>0</v>
      </c>
      <c r="H16" s="281"/>
      <c r="I16" s="281"/>
      <c r="J16" s="281"/>
      <c r="K16" s="281"/>
      <c r="L16" s="281"/>
      <c r="M16" s="282"/>
      <c r="N16" s="256"/>
      <c r="Q16" s="123"/>
    </row>
    <row r="17" spans="1:17" s="52" customFormat="1" ht="25.5">
      <c r="A17" s="253">
        <v>3</v>
      </c>
      <c r="B17" s="261" t="s">
        <v>19</v>
      </c>
      <c r="C17" s="6">
        <v>2215</v>
      </c>
      <c r="D17" s="100">
        <v>50.1</v>
      </c>
      <c r="E17" s="100"/>
      <c r="F17" s="100"/>
      <c r="G17" s="281">
        <f t="shared" si="0"/>
        <v>50.1</v>
      </c>
      <c r="H17" s="281"/>
      <c r="I17" s="281"/>
      <c r="J17" s="281"/>
      <c r="K17" s="282"/>
      <c r="L17" s="281"/>
      <c r="M17" s="282"/>
      <c r="N17" s="254" t="s">
        <v>254</v>
      </c>
      <c r="Q17" s="123"/>
    </row>
    <row r="18" spans="1:17" s="52" customFormat="1" ht="25.5">
      <c r="A18" s="253">
        <v>4</v>
      </c>
      <c r="B18" s="261" t="s">
        <v>121</v>
      </c>
      <c r="C18" s="6">
        <v>2215</v>
      </c>
      <c r="D18" s="100">
        <v>12.2</v>
      </c>
      <c r="E18" s="100"/>
      <c r="F18" s="100"/>
      <c r="G18" s="281">
        <f t="shared" si="0"/>
        <v>12.2</v>
      </c>
      <c r="H18" s="281"/>
      <c r="I18" s="281"/>
      <c r="J18" s="281"/>
      <c r="K18" s="282"/>
      <c r="L18" s="281"/>
      <c r="M18" s="282"/>
      <c r="N18" s="254" t="s">
        <v>254</v>
      </c>
      <c r="Q18" s="123"/>
    </row>
    <row r="19" spans="1:17" s="52" customFormat="1">
      <c r="A19" s="428">
        <v>5</v>
      </c>
      <c r="B19" s="458" t="s">
        <v>123</v>
      </c>
      <c r="C19" s="6">
        <v>2214</v>
      </c>
      <c r="D19" s="100">
        <v>7.5</v>
      </c>
      <c r="E19" s="100"/>
      <c r="F19" s="100"/>
      <c r="G19" s="281">
        <f t="shared" si="0"/>
        <v>7.5</v>
      </c>
      <c r="H19" s="281"/>
      <c r="I19" s="281"/>
      <c r="J19" s="281"/>
      <c r="K19" s="281"/>
      <c r="L19" s="281"/>
      <c r="M19" s="282"/>
      <c r="N19" s="429" t="s">
        <v>254</v>
      </c>
      <c r="Q19" s="123"/>
    </row>
    <row r="20" spans="1:17" s="52" customFormat="1">
      <c r="A20" s="418"/>
      <c r="B20" s="456"/>
      <c r="C20" s="6">
        <v>2215</v>
      </c>
      <c r="D20" s="100">
        <v>23.7</v>
      </c>
      <c r="E20" s="100"/>
      <c r="F20" s="100"/>
      <c r="G20" s="281">
        <f t="shared" si="0"/>
        <v>23.7</v>
      </c>
      <c r="H20" s="281"/>
      <c r="I20" s="281"/>
      <c r="J20" s="281"/>
      <c r="K20" s="281"/>
      <c r="L20" s="281"/>
      <c r="M20" s="282"/>
      <c r="N20" s="455"/>
      <c r="Q20" s="123"/>
    </row>
    <row r="21" spans="1:17" s="52" customFormat="1">
      <c r="A21" s="418"/>
      <c r="B21" s="456"/>
      <c r="C21" s="6">
        <v>2218</v>
      </c>
      <c r="D21" s="100">
        <v>3.6</v>
      </c>
      <c r="E21" s="100"/>
      <c r="F21" s="100"/>
      <c r="G21" s="281">
        <f t="shared" si="0"/>
        <v>3.6</v>
      </c>
      <c r="H21" s="281"/>
      <c r="I21" s="281"/>
      <c r="J21" s="281"/>
      <c r="K21" s="281"/>
      <c r="L21" s="281"/>
      <c r="M21" s="282"/>
      <c r="N21" s="455"/>
      <c r="Q21" s="123"/>
    </row>
    <row r="22" spans="1:17" s="52" customFormat="1">
      <c r="A22" s="418"/>
      <c r="B22" s="456"/>
      <c r="C22" s="6">
        <v>2222</v>
      </c>
      <c r="D22" s="100">
        <v>70</v>
      </c>
      <c r="E22" s="100"/>
      <c r="F22" s="100"/>
      <c r="G22" s="281">
        <f t="shared" si="0"/>
        <v>70</v>
      </c>
      <c r="H22" s="281"/>
      <c r="I22" s="281"/>
      <c r="J22" s="281"/>
      <c r="K22" s="281"/>
      <c r="L22" s="281"/>
      <c r="M22" s="282"/>
      <c r="N22" s="455"/>
      <c r="Q22" s="123"/>
    </row>
    <row r="23" spans="1:17" s="52" customFormat="1">
      <c r="A23" s="450"/>
      <c r="B23" s="457"/>
      <c r="C23" s="6">
        <v>3112</v>
      </c>
      <c r="D23" s="100">
        <v>9.6999999999999993</v>
      </c>
      <c r="E23" s="100"/>
      <c r="F23" s="100"/>
      <c r="G23" s="281">
        <f t="shared" si="0"/>
        <v>9.6999999999999993</v>
      </c>
      <c r="H23" s="281"/>
      <c r="I23" s="281"/>
      <c r="J23" s="281"/>
      <c r="K23" s="281"/>
      <c r="L23" s="281"/>
      <c r="M23" s="282"/>
      <c r="N23" s="430"/>
      <c r="Q23" s="123"/>
    </row>
    <row r="24" spans="1:17" ht="25.5" hidden="1">
      <c r="A24" s="253"/>
      <c r="B24" s="260" t="s">
        <v>188</v>
      </c>
      <c r="C24" s="6"/>
      <c r="D24" s="166"/>
      <c r="E24" s="166"/>
      <c r="F24" s="166"/>
      <c r="G24" s="281">
        <f t="shared" si="0"/>
        <v>0</v>
      </c>
      <c r="H24" s="281"/>
      <c r="I24" s="281"/>
      <c r="J24" s="281"/>
      <c r="K24" s="283"/>
      <c r="L24" s="281"/>
      <c r="M24" s="283"/>
      <c r="N24" s="254"/>
    </row>
    <row r="25" spans="1:17">
      <c r="A25" s="428">
        <v>6</v>
      </c>
      <c r="B25" s="429" t="s">
        <v>18</v>
      </c>
      <c r="C25" s="6">
        <v>2214</v>
      </c>
      <c r="D25" s="100">
        <v>38</v>
      </c>
      <c r="E25" s="100"/>
      <c r="F25" s="100"/>
      <c r="G25" s="281">
        <f t="shared" si="0"/>
        <v>38</v>
      </c>
      <c r="H25" s="281"/>
      <c r="I25" s="281"/>
      <c r="J25" s="281"/>
      <c r="K25" s="283"/>
      <c r="L25" s="281"/>
      <c r="M25" s="283"/>
      <c r="N25" s="429" t="s">
        <v>254</v>
      </c>
    </row>
    <row r="26" spans="1:17">
      <c r="A26" s="418"/>
      <c r="B26" s="455"/>
      <c r="C26" s="6">
        <v>2222</v>
      </c>
      <c r="D26" s="100">
        <v>23.5</v>
      </c>
      <c r="E26" s="100"/>
      <c r="F26" s="100"/>
      <c r="G26" s="281">
        <f t="shared" si="0"/>
        <v>23.5</v>
      </c>
      <c r="H26" s="281"/>
      <c r="I26" s="281"/>
      <c r="J26" s="281"/>
      <c r="K26" s="283"/>
      <c r="L26" s="281"/>
      <c r="M26" s="283"/>
      <c r="N26" s="455"/>
    </row>
    <row r="27" spans="1:17">
      <c r="A27" s="418"/>
      <c r="B27" s="455"/>
      <c r="C27" s="6">
        <v>2223</v>
      </c>
      <c r="D27" s="100">
        <v>1.4</v>
      </c>
      <c r="E27" s="100"/>
      <c r="F27" s="100"/>
      <c r="G27" s="281">
        <f t="shared" si="0"/>
        <v>1.4</v>
      </c>
      <c r="H27" s="281"/>
      <c r="I27" s="281"/>
      <c r="J27" s="281"/>
      <c r="K27" s="283"/>
      <c r="L27" s="281"/>
      <c r="M27" s="283"/>
      <c r="N27" s="455"/>
    </row>
    <row r="28" spans="1:17">
      <c r="A28" s="418"/>
      <c r="B28" s="455"/>
      <c r="C28" s="6">
        <v>3112</v>
      </c>
      <c r="D28" s="100">
        <v>3.7</v>
      </c>
      <c r="E28" s="100"/>
      <c r="F28" s="100"/>
      <c r="G28" s="281">
        <f t="shared" si="0"/>
        <v>3.7</v>
      </c>
      <c r="H28" s="281"/>
      <c r="I28" s="281"/>
      <c r="J28" s="281"/>
      <c r="K28" s="283"/>
      <c r="L28" s="281"/>
      <c r="M28" s="283"/>
      <c r="N28" s="455"/>
    </row>
    <row r="29" spans="1:17">
      <c r="A29" s="418"/>
      <c r="B29" s="455"/>
      <c r="C29" s="6">
        <v>3113</v>
      </c>
      <c r="D29" s="100">
        <v>179.5</v>
      </c>
      <c r="E29" s="100"/>
      <c r="F29" s="100"/>
      <c r="G29" s="281">
        <f t="shared" si="0"/>
        <v>179.5</v>
      </c>
      <c r="H29" s="281"/>
      <c r="I29" s="281"/>
      <c r="J29" s="281"/>
      <c r="K29" s="283"/>
      <c r="L29" s="281"/>
      <c r="M29" s="283"/>
      <c r="N29" s="455"/>
    </row>
    <row r="30" spans="1:17">
      <c r="A30" s="418"/>
      <c r="B30" s="455"/>
      <c r="C30" s="6">
        <v>3111</v>
      </c>
      <c r="D30" s="100">
        <v>3</v>
      </c>
      <c r="E30" s="100"/>
      <c r="F30" s="100"/>
      <c r="G30" s="281">
        <f t="shared" si="0"/>
        <v>3</v>
      </c>
      <c r="H30" s="281"/>
      <c r="I30" s="281"/>
      <c r="J30" s="281"/>
      <c r="K30" s="283"/>
      <c r="L30" s="281"/>
      <c r="M30" s="283"/>
      <c r="N30" s="455"/>
    </row>
    <row r="31" spans="1:17">
      <c r="A31" s="450"/>
      <c r="B31" s="430"/>
      <c r="C31" s="6">
        <v>2215</v>
      </c>
      <c r="D31" s="100">
        <v>83</v>
      </c>
      <c r="E31" s="100"/>
      <c r="F31" s="100"/>
      <c r="G31" s="281">
        <f t="shared" si="0"/>
        <v>83</v>
      </c>
      <c r="H31" s="281"/>
      <c r="I31" s="281"/>
      <c r="J31" s="281"/>
      <c r="K31" s="283"/>
      <c r="L31" s="281"/>
      <c r="M31" s="283"/>
      <c r="N31" s="430"/>
    </row>
    <row r="32" spans="1:17">
      <c r="A32" s="428">
        <v>7</v>
      </c>
      <c r="B32" s="460" t="s">
        <v>116</v>
      </c>
      <c r="C32" s="6">
        <v>2214</v>
      </c>
      <c r="D32" s="100">
        <v>554.5</v>
      </c>
      <c r="E32" s="100"/>
      <c r="F32" s="100"/>
      <c r="G32" s="281">
        <f t="shared" si="0"/>
        <v>554.5</v>
      </c>
      <c r="H32" s="281"/>
      <c r="I32" s="281"/>
      <c r="J32" s="281"/>
      <c r="K32" s="283"/>
      <c r="L32" s="281"/>
      <c r="M32" s="283"/>
      <c r="N32" s="429" t="s">
        <v>254</v>
      </c>
    </row>
    <row r="33" spans="1:17">
      <c r="A33" s="418"/>
      <c r="B33" s="421"/>
      <c r="C33" s="6">
        <v>2222</v>
      </c>
      <c r="D33" s="100">
        <v>124.8</v>
      </c>
      <c r="E33" s="100"/>
      <c r="F33" s="100"/>
      <c r="G33" s="281">
        <f t="shared" si="0"/>
        <v>124.8</v>
      </c>
      <c r="H33" s="281"/>
      <c r="I33" s="281"/>
      <c r="J33" s="281"/>
      <c r="K33" s="283"/>
      <c r="L33" s="281"/>
      <c r="M33" s="283"/>
      <c r="N33" s="430"/>
    </row>
    <row r="34" spans="1:17">
      <c r="A34" s="418"/>
      <c r="B34" s="421"/>
      <c r="C34" s="6">
        <v>2111</v>
      </c>
      <c r="D34" s="100"/>
      <c r="E34" s="100">
        <v>814.3</v>
      </c>
      <c r="F34" s="100"/>
      <c r="G34" s="281">
        <f t="shared" si="0"/>
        <v>814.3</v>
      </c>
      <c r="H34" s="281"/>
      <c r="I34" s="281"/>
      <c r="J34" s="281"/>
      <c r="K34" s="283"/>
      <c r="L34" s="281"/>
      <c r="M34" s="283"/>
      <c r="N34" s="429" t="s">
        <v>282</v>
      </c>
    </row>
    <row r="35" spans="1:17">
      <c r="A35" s="450"/>
      <c r="B35" s="461"/>
      <c r="C35" s="6">
        <v>2121</v>
      </c>
      <c r="D35" s="100"/>
      <c r="E35" s="100">
        <v>140.4</v>
      </c>
      <c r="F35" s="100"/>
      <c r="G35" s="281">
        <f t="shared" si="0"/>
        <v>140.4</v>
      </c>
      <c r="H35" s="281"/>
      <c r="I35" s="281"/>
      <c r="J35" s="281"/>
      <c r="K35" s="283"/>
      <c r="L35" s="281"/>
      <c r="M35" s="283"/>
      <c r="N35" s="430"/>
    </row>
    <row r="36" spans="1:17" ht="25.5">
      <c r="A36" s="253">
        <v>8</v>
      </c>
      <c r="B36" s="254" t="s">
        <v>240</v>
      </c>
      <c r="C36" s="6">
        <v>2215</v>
      </c>
      <c r="D36" s="100">
        <v>0.4</v>
      </c>
      <c r="E36" s="100"/>
      <c r="F36" s="100"/>
      <c r="G36" s="281">
        <f t="shared" si="0"/>
        <v>0.4</v>
      </c>
      <c r="H36" s="281"/>
      <c r="I36" s="281"/>
      <c r="J36" s="281"/>
      <c r="K36" s="283"/>
      <c r="L36" s="281"/>
      <c r="M36" s="283"/>
      <c r="N36" s="254" t="s">
        <v>254</v>
      </c>
      <c r="O36" s="51"/>
      <c r="P36" s="50"/>
      <c r="Q36" s="144"/>
    </row>
    <row r="37" spans="1:17">
      <c r="A37" s="428">
        <v>9</v>
      </c>
      <c r="B37" s="429" t="s">
        <v>149</v>
      </c>
      <c r="C37" s="6">
        <v>2214</v>
      </c>
      <c r="D37" s="100">
        <v>183</v>
      </c>
      <c r="E37" s="100"/>
      <c r="F37" s="100"/>
      <c r="G37" s="281">
        <f t="shared" si="0"/>
        <v>183</v>
      </c>
      <c r="H37" s="281"/>
      <c r="I37" s="281"/>
      <c r="J37" s="281"/>
      <c r="K37" s="283"/>
      <c r="L37" s="281"/>
      <c r="M37" s="283"/>
      <c r="N37" s="429" t="s">
        <v>254</v>
      </c>
    </row>
    <row r="38" spans="1:17">
      <c r="A38" s="418"/>
      <c r="B38" s="455"/>
      <c r="C38" s="6">
        <v>2215</v>
      </c>
      <c r="D38" s="100">
        <v>66.400000000000006</v>
      </c>
      <c r="E38" s="100"/>
      <c r="F38" s="100"/>
      <c r="G38" s="281">
        <f t="shared" si="0"/>
        <v>66.400000000000006</v>
      </c>
      <c r="H38" s="281"/>
      <c r="I38" s="281"/>
      <c r="J38" s="281"/>
      <c r="K38" s="283"/>
      <c r="L38" s="281"/>
      <c r="M38" s="283"/>
      <c r="N38" s="455"/>
    </row>
    <row r="39" spans="1:17">
      <c r="A39" s="418"/>
      <c r="B39" s="455"/>
      <c r="C39" s="6">
        <v>2222</v>
      </c>
      <c r="D39" s="100">
        <v>449.7</v>
      </c>
      <c r="E39" s="100"/>
      <c r="F39" s="100"/>
      <c r="G39" s="281">
        <f t="shared" si="0"/>
        <v>449.7</v>
      </c>
      <c r="H39" s="281"/>
      <c r="I39" s="281"/>
      <c r="J39" s="281"/>
      <c r="K39" s="283"/>
      <c r="L39" s="281"/>
      <c r="M39" s="283"/>
      <c r="N39" s="455"/>
    </row>
    <row r="40" spans="1:17">
      <c r="A40" s="418"/>
      <c r="B40" s="455"/>
      <c r="C40" s="6">
        <v>2223</v>
      </c>
      <c r="D40" s="100">
        <v>57.4</v>
      </c>
      <c r="E40" s="100"/>
      <c r="F40" s="100"/>
      <c r="G40" s="281">
        <f t="shared" si="0"/>
        <v>57.4</v>
      </c>
      <c r="H40" s="281"/>
      <c r="I40" s="281"/>
      <c r="J40" s="281"/>
      <c r="K40" s="283"/>
      <c r="L40" s="281"/>
      <c r="M40" s="283"/>
      <c r="N40" s="455"/>
      <c r="O40" s="51"/>
      <c r="P40" s="51"/>
      <c r="Q40" s="122"/>
    </row>
    <row r="41" spans="1:17">
      <c r="A41" s="418"/>
      <c r="B41" s="455"/>
      <c r="C41" s="6">
        <v>3112</v>
      </c>
      <c r="D41" s="100">
        <v>26</v>
      </c>
      <c r="E41" s="100"/>
      <c r="F41" s="100"/>
      <c r="G41" s="281">
        <f t="shared" si="0"/>
        <v>26</v>
      </c>
      <c r="H41" s="281"/>
      <c r="I41" s="281"/>
      <c r="J41" s="281"/>
      <c r="K41" s="283"/>
      <c r="L41" s="281"/>
      <c r="M41" s="283"/>
      <c r="N41" s="455"/>
      <c r="O41" s="51"/>
      <c r="P41" s="51"/>
      <c r="Q41" s="122"/>
    </row>
    <row r="42" spans="1:17">
      <c r="A42" s="450"/>
      <c r="B42" s="430"/>
      <c r="C42" s="6">
        <v>3122</v>
      </c>
      <c r="D42" s="100">
        <v>2460.3000000000002</v>
      </c>
      <c r="E42" s="100"/>
      <c r="F42" s="100"/>
      <c r="G42" s="281">
        <f t="shared" si="0"/>
        <v>2460.3000000000002</v>
      </c>
      <c r="H42" s="281"/>
      <c r="I42" s="281"/>
      <c r="J42" s="281"/>
      <c r="K42" s="283"/>
      <c r="L42" s="281"/>
      <c r="M42" s="283"/>
      <c r="N42" s="430"/>
      <c r="O42" s="51"/>
      <c r="P42" s="51"/>
      <c r="Q42" s="122"/>
    </row>
    <row r="43" spans="1:17" hidden="1">
      <c r="A43" s="412"/>
      <c r="B43" s="424" t="s">
        <v>133</v>
      </c>
      <c r="C43" s="6"/>
      <c r="D43" s="100"/>
      <c r="E43" s="100"/>
      <c r="F43" s="100"/>
      <c r="G43" s="281">
        <f t="shared" si="0"/>
        <v>0</v>
      </c>
      <c r="H43" s="281"/>
      <c r="I43" s="281"/>
      <c r="J43" s="281"/>
      <c r="K43" s="283"/>
      <c r="L43" s="281"/>
      <c r="M43" s="283"/>
      <c r="N43" s="254"/>
      <c r="P43" s="50"/>
    </row>
    <row r="44" spans="1:17" hidden="1">
      <c r="A44" s="412"/>
      <c r="B44" s="424"/>
      <c r="C44" s="6"/>
      <c r="D44" s="100"/>
      <c r="E44" s="100"/>
      <c r="F44" s="100"/>
      <c r="G44" s="281">
        <f t="shared" si="0"/>
        <v>0</v>
      </c>
      <c r="H44" s="281"/>
      <c r="I44" s="281"/>
      <c r="J44" s="281"/>
      <c r="K44" s="283"/>
      <c r="L44" s="281"/>
      <c r="M44" s="283"/>
      <c r="N44" s="254"/>
      <c r="P44" s="50"/>
    </row>
    <row r="45" spans="1:17">
      <c r="A45" s="428">
        <v>10</v>
      </c>
      <c r="B45" s="429" t="s">
        <v>16</v>
      </c>
      <c r="C45" s="6">
        <v>2214</v>
      </c>
      <c r="D45" s="100">
        <v>6.5</v>
      </c>
      <c r="E45" s="100"/>
      <c r="F45" s="100"/>
      <c r="G45" s="281">
        <f t="shared" si="0"/>
        <v>6.5</v>
      </c>
      <c r="H45" s="281"/>
      <c r="I45" s="281"/>
      <c r="J45" s="281"/>
      <c r="K45" s="283"/>
      <c r="L45" s="281"/>
      <c r="M45" s="283"/>
      <c r="N45" s="424" t="s">
        <v>254</v>
      </c>
    </row>
    <row r="46" spans="1:17">
      <c r="A46" s="418"/>
      <c r="B46" s="455"/>
      <c r="C46" s="6">
        <v>2215</v>
      </c>
      <c r="D46" s="100">
        <v>80.5</v>
      </c>
      <c r="E46" s="100"/>
      <c r="F46" s="100"/>
      <c r="G46" s="281">
        <f t="shared" si="0"/>
        <v>80.5</v>
      </c>
      <c r="H46" s="281"/>
      <c r="I46" s="281"/>
      <c r="J46" s="281"/>
      <c r="K46" s="283"/>
      <c r="L46" s="281"/>
      <c r="M46" s="283"/>
      <c r="N46" s="424"/>
    </row>
    <row r="47" spans="1:17">
      <c r="A47" s="418"/>
      <c r="B47" s="455"/>
      <c r="C47" s="6">
        <v>2222</v>
      </c>
      <c r="D47" s="100">
        <v>2.6</v>
      </c>
      <c r="E47" s="100"/>
      <c r="F47" s="100"/>
      <c r="G47" s="281">
        <f t="shared" si="0"/>
        <v>2.6</v>
      </c>
      <c r="H47" s="281"/>
      <c r="I47" s="281"/>
      <c r="J47" s="281"/>
      <c r="K47" s="283"/>
      <c r="L47" s="281"/>
      <c r="M47" s="283"/>
      <c r="N47" s="424"/>
      <c r="O47" s="251"/>
    </row>
    <row r="48" spans="1:17">
      <c r="A48" s="418"/>
      <c r="B48" s="455"/>
      <c r="C48" s="6">
        <v>3111</v>
      </c>
      <c r="D48" s="100">
        <v>4970.3999999999996</v>
      </c>
      <c r="E48" s="100"/>
      <c r="F48" s="100"/>
      <c r="G48" s="281">
        <f t="shared" si="0"/>
        <v>4970.3999999999996</v>
      </c>
      <c r="H48" s="281"/>
      <c r="I48" s="281"/>
      <c r="J48" s="281"/>
      <c r="K48" s="283"/>
      <c r="L48" s="281"/>
      <c r="M48" s="283"/>
      <c r="N48" s="424"/>
    </row>
    <row r="49" spans="1:16" s="48" customFormat="1" ht="25.5">
      <c r="A49" s="450"/>
      <c r="B49" s="430"/>
      <c r="C49" s="6">
        <v>3111</v>
      </c>
      <c r="D49" s="100"/>
      <c r="E49" s="100">
        <v>2246.8000000000002</v>
      </c>
      <c r="F49" s="100"/>
      <c r="G49" s="281">
        <f t="shared" si="0"/>
        <v>2246.8000000000002</v>
      </c>
      <c r="H49" s="281"/>
      <c r="I49" s="281"/>
      <c r="J49" s="281"/>
      <c r="K49" s="283"/>
      <c r="L49" s="281"/>
      <c r="M49" s="283"/>
      <c r="N49" s="254" t="s">
        <v>254</v>
      </c>
    </row>
    <row r="50" spans="1:16" s="48" customFormat="1">
      <c r="A50" s="412">
        <v>11</v>
      </c>
      <c r="B50" s="459" t="s">
        <v>17</v>
      </c>
      <c r="C50" s="6">
        <v>2214</v>
      </c>
      <c r="D50" s="100">
        <v>34.9</v>
      </c>
      <c r="E50" s="100"/>
      <c r="F50" s="100"/>
      <c r="G50" s="281">
        <f t="shared" si="0"/>
        <v>34.9</v>
      </c>
      <c r="H50" s="281"/>
      <c r="I50" s="281"/>
      <c r="J50" s="281"/>
      <c r="K50" s="283"/>
      <c r="L50" s="281"/>
      <c r="M50" s="283"/>
      <c r="N50" s="424" t="s">
        <v>254</v>
      </c>
    </row>
    <row r="51" spans="1:16" s="48" customFormat="1">
      <c r="A51" s="412"/>
      <c r="B51" s="459"/>
      <c r="C51" s="6">
        <v>2215</v>
      </c>
      <c r="D51" s="100">
        <v>83.1</v>
      </c>
      <c r="E51" s="100"/>
      <c r="F51" s="100"/>
      <c r="G51" s="281">
        <f t="shared" si="0"/>
        <v>83.1</v>
      </c>
      <c r="H51" s="281"/>
      <c r="I51" s="281"/>
      <c r="J51" s="281"/>
      <c r="K51" s="283"/>
      <c r="L51" s="281"/>
      <c r="M51" s="283"/>
      <c r="N51" s="424"/>
    </row>
    <row r="52" spans="1:16" s="48" customFormat="1">
      <c r="A52" s="412"/>
      <c r="B52" s="459"/>
      <c r="C52" s="6">
        <v>2221</v>
      </c>
      <c r="D52" s="100">
        <v>18.2</v>
      </c>
      <c r="E52" s="100"/>
      <c r="F52" s="100"/>
      <c r="G52" s="281">
        <f t="shared" si="0"/>
        <v>18.2</v>
      </c>
      <c r="H52" s="281"/>
      <c r="I52" s="281"/>
      <c r="J52" s="281"/>
      <c r="K52" s="283"/>
      <c r="L52" s="281"/>
      <c r="M52" s="283"/>
      <c r="N52" s="424"/>
    </row>
    <row r="53" spans="1:16" s="48" customFormat="1">
      <c r="A53" s="412"/>
      <c r="B53" s="459"/>
      <c r="C53" s="6">
        <v>2222</v>
      </c>
      <c r="D53" s="100">
        <v>594.6</v>
      </c>
      <c r="E53" s="100"/>
      <c r="F53" s="100"/>
      <c r="G53" s="281">
        <f t="shared" si="0"/>
        <v>594.6</v>
      </c>
      <c r="H53" s="281"/>
      <c r="I53" s="281"/>
      <c r="J53" s="281"/>
      <c r="K53" s="283"/>
      <c r="L53" s="281"/>
      <c r="M53" s="283"/>
      <c r="N53" s="424"/>
    </row>
    <row r="54" spans="1:16" s="48" customFormat="1">
      <c r="A54" s="412"/>
      <c r="B54" s="459"/>
      <c r="C54" s="6">
        <v>3112</v>
      </c>
      <c r="D54" s="100">
        <v>202.1</v>
      </c>
      <c r="E54" s="100"/>
      <c r="F54" s="100"/>
      <c r="G54" s="281">
        <f t="shared" si="0"/>
        <v>202.1</v>
      </c>
      <c r="H54" s="281"/>
      <c r="I54" s="281"/>
      <c r="J54" s="281"/>
      <c r="K54" s="283"/>
      <c r="L54" s="281"/>
      <c r="M54" s="283"/>
      <c r="N54" s="424"/>
    </row>
    <row r="55" spans="1:16" s="48" customFormat="1">
      <c r="A55" s="412">
        <v>12</v>
      </c>
      <c r="B55" s="459" t="s">
        <v>28</v>
      </c>
      <c r="C55" s="6">
        <v>2111</v>
      </c>
      <c r="D55" s="100">
        <v>164.4</v>
      </c>
      <c r="E55" s="100"/>
      <c r="F55" s="100"/>
      <c r="G55" s="281">
        <f t="shared" si="0"/>
        <v>164.4</v>
      </c>
      <c r="H55" s="281"/>
      <c r="I55" s="281"/>
      <c r="J55" s="281"/>
      <c r="K55" s="283"/>
      <c r="L55" s="281"/>
      <c r="M55" s="283"/>
      <c r="N55" s="424" t="s">
        <v>254</v>
      </c>
    </row>
    <row r="56" spans="1:16" s="48" customFormat="1">
      <c r="A56" s="412"/>
      <c r="B56" s="459"/>
      <c r="C56" s="6">
        <v>2121</v>
      </c>
      <c r="D56" s="100">
        <v>28.4</v>
      </c>
      <c r="E56" s="100"/>
      <c r="F56" s="100"/>
      <c r="G56" s="281">
        <f t="shared" si="0"/>
        <v>28.4</v>
      </c>
      <c r="H56" s="281"/>
      <c r="I56" s="281"/>
      <c r="J56" s="281"/>
      <c r="K56" s="283"/>
      <c r="L56" s="281"/>
      <c r="M56" s="283"/>
      <c r="N56" s="424"/>
    </row>
    <row r="57" spans="1:16" s="48" customFormat="1">
      <c r="A57" s="412"/>
      <c r="B57" s="459"/>
      <c r="C57" s="6">
        <v>2214</v>
      </c>
      <c r="D57" s="100">
        <v>1.9</v>
      </c>
      <c r="E57" s="100"/>
      <c r="F57" s="100"/>
      <c r="G57" s="281">
        <f t="shared" si="0"/>
        <v>1.9</v>
      </c>
      <c r="H57" s="281"/>
      <c r="I57" s="281"/>
      <c r="J57" s="281"/>
      <c r="K57" s="283"/>
      <c r="L57" s="281"/>
      <c r="M57" s="283"/>
      <c r="N57" s="424"/>
    </row>
    <row r="58" spans="1:16" s="48" customFormat="1">
      <c r="A58" s="412"/>
      <c r="B58" s="459"/>
      <c r="C58" s="6">
        <v>2215</v>
      </c>
      <c r="D58" s="100">
        <f>5+6+17.8+0.5+7.5+4</f>
        <v>40.799999999999997</v>
      </c>
      <c r="E58" s="100"/>
      <c r="F58" s="100"/>
      <c r="G58" s="281">
        <f t="shared" si="0"/>
        <v>40.799999999999997</v>
      </c>
      <c r="H58" s="281"/>
      <c r="I58" s="281"/>
      <c r="J58" s="281"/>
      <c r="K58" s="283"/>
      <c r="L58" s="281"/>
      <c r="M58" s="283"/>
      <c r="N58" s="424"/>
    </row>
    <row r="59" spans="1:16" s="48" customFormat="1">
      <c r="A59" s="412"/>
      <c r="B59" s="459"/>
      <c r="C59" s="6">
        <v>2222</v>
      </c>
      <c r="D59" s="100">
        <v>28.8</v>
      </c>
      <c r="E59" s="100"/>
      <c r="F59" s="100"/>
      <c r="G59" s="281">
        <f t="shared" si="0"/>
        <v>28.8</v>
      </c>
      <c r="H59" s="281"/>
      <c r="I59" s="281"/>
      <c r="J59" s="281"/>
      <c r="K59" s="283"/>
      <c r="L59" s="281"/>
      <c r="M59" s="283"/>
      <c r="N59" s="424"/>
    </row>
    <row r="60" spans="1:16" s="48" customFormat="1">
      <c r="A60" s="412"/>
      <c r="B60" s="459"/>
      <c r="C60" s="6">
        <v>3112</v>
      </c>
      <c r="D60" s="100">
        <v>17.399999999999999</v>
      </c>
      <c r="E60" s="100"/>
      <c r="F60" s="100"/>
      <c r="G60" s="281">
        <f t="shared" si="0"/>
        <v>17.399999999999999</v>
      </c>
      <c r="H60" s="281"/>
      <c r="I60" s="281"/>
      <c r="J60" s="281"/>
      <c r="K60" s="283"/>
      <c r="L60" s="281"/>
      <c r="M60" s="283"/>
      <c r="N60" s="424"/>
    </row>
    <row r="61" spans="1:16" s="48" customFormat="1">
      <c r="A61" s="412">
        <v>13</v>
      </c>
      <c r="B61" s="459" t="s">
        <v>15</v>
      </c>
      <c r="C61" s="6">
        <v>2214</v>
      </c>
      <c r="D61" s="100">
        <v>3.9</v>
      </c>
      <c r="E61" s="100"/>
      <c r="F61" s="100"/>
      <c r="G61" s="281">
        <f t="shared" si="0"/>
        <v>3.9</v>
      </c>
      <c r="H61" s="281"/>
      <c r="I61" s="281"/>
      <c r="J61" s="281"/>
      <c r="K61" s="283"/>
      <c r="L61" s="281"/>
      <c r="M61" s="283"/>
      <c r="N61" s="424" t="s">
        <v>254</v>
      </c>
    </row>
    <row r="62" spans="1:16" s="48" customFormat="1">
      <c r="A62" s="412"/>
      <c r="B62" s="459"/>
      <c r="C62" s="6">
        <v>2222</v>
      </c>
      <c r="D62" s="100">
        <v>16.100000000000001</v>
      </c>
      <c r="E62" s="100"/>
      <c r="F62" s="100"/>
      <c r="G62" s="281">
        <f t="shared" si="0"/>
        <v>16.100000000000001</v>
      </c>
      <c r="H62" s="281"/>
      <c r="I62" s="281"/>
      <c r="J62" s="281"/>
      <c r="K62" s="283"/>
      <c r="L62" s="281"/>
      <c r="M62" s="283"/>
      <c r="N62" s="424"/>
      <c r="P62" s="50"/>
    </row>
    <row r="63" spans="1:16" s="48" customFormat="1">
      <c r="A63" s="412"/>
      <c r="B63" s="459"/>
      <c r="C63" s="6">
        <v>3112</v>
      </c>
      <c r="D63" s="100">
        <v>10.5</v>
      </c>
      <c r="E63" s="100"/>
      <c r="F63" s="100"/>
      <c r="G63" s="281">
        <f t="shared" si="0"/>
        <v>10.5</v>
      </c>
      <c r="H63" s="281"/>
      <c r="I63" s="281"/>
      <c r="J63" s="281"/>
      <c r="K63" s="283"/>
      <c r="L63" s="281"/>
      <c r="M63" s="283"/>
      <c r="N63" s="424"/>
      <c r="P63" s="50"/>
    </row>
    <row r="64" spans="1:16" s="48" customFormat="1">
      <c r="A64" s="412">
        <v>14</v>
      </c>
      <c r="B64" s="424" t="s">
        <v>139</v>
      </c>
      <c r="C64" s="6">
        <v>2214</v>
      </c>
      <c r="D64" s="100">
        <v>2.2999999999999998</v>
      </c>
      <c r="E64" s="100"/>
      <c r="F64" s="100"/>
      <c r="G64" s="281">
        <f t="shared" si="0"/>
        <v>2.2999999999999998</v>
      </c>
      <c r="H64" s="281"/>
      <c r="I64" s="281"/>
      <c r="J64" s="281"/>
      <c r="K64" s="283"/>
      <c r="L64" s="281"/>
      <c r="M64" s="283"/>
      <c r="N64" s="424" t="s">
        <v>254</v>
      </c>
    </row>
    <row r="65" spans="1:17">
      <c r="A65" s="412"/>
      <c r="B65" s="424"/>
      <c r="C65" s="6">
        <v>2215</v>
      </c>
      <c r="D65" s="100">
        <v>1</v>
      </c>
      <c r="E65" s="100"/>
      <c r="F65" s="100"/>
      <c r="G65" s="281">
        <f t="shared" si="0"/>
        <v>1</v>
      </c>
      <c r="H65" s="281"/>
      <c r="I65" s="281"/>
      <c r="J65" s="281"/>
      <c r="K65" s="283"/>
      <c r="L65" s="281"/>
      <c r="M65" s="283"/>
      <c r="N65" s="424"/>
    </row>
    <row r="66" spans="1:17" hidden="1">
      <c r="A66" s="412"/>
      <c r="B66" s="424"/>
      <c r="C66" s="6"/>
      <c r="D66" s="100"/>
      <c r="E66" s="100"/>
      <c r="F66" s="100"/>
      <c r="G66" s="281">
        <f t="shared" si="0"/>
        <v>0</v>
      </c>
      <c r="H66" s="281"/>
      <c r="I66" s="281"/>
      <c r="J66" s="281"/>
      <c r="K66" s="283"/>
      <c r="L66" s="281"/>
      <c r="M66" s="283"/>
      <c r="N66" s="424"/>
    </row>
    <row r="67" spans="1:17" hidden="1">
      <c r="A67" s="412"/>
      <c r="B67" s="424"/>
      <c r="C67" s="6"/>
      <c r="D67" s="100"/>
      <c r="E67" s="100"/>
      <c r="F67" s="100"/>
      <c r="G67" s="281">
        <f t="shared" si="0"/>
        <v>0</v>
      </c>
      <c r="H67" s="281"/>
      <c r="I67" s="281"/>
      <c r="J67" s="281"/>
      <c r="K67" s="283"/>
      <c r="L67" s="281"/>
      <c r="M67" s="283"/>
      <c r="N67" s="424"/>
    </row>
    <row r="68" spans="1:17" ht="15.6" hidden="1" customHeight="1">
      <c r="A68" s="412"/>
      <c r="B68" s="424"/>
      <c r="C68" s="6"/>
      <c r="D68" s="100"/>
      <c r="E68" s="100"/>
      <c r="F68" s="100"/>
      <c r="G68" s="281">
        <f t="shared" si="0"/>
        <v>0</v>
      </c>
      <c r="H68" s="281"/>
      <c r="I68" s="281"/>
      <c r="J68" s="281"/>
      <c r="K68" s="283"/>
      <c r="L68" s="281"/>
      <c r="M68" s="283"/>
      <c r="N68" s="254"/>
    </row>
    <row r="69" spans="1:17" hidden="1">
      <c r="A69" s="412"/>
      <c r="B69" s="424"/>
      <c r="C69" s="6"/>
      <c r="D69" s="100"/>
      <c r="E69" s="100"/>
      <c r="F69" s="100"/>
      <c r="G69" s="281">
        <f t="shared" si="0"/>
        <v>0</v>
      </c>
      <c r="H69" s="281"/>
      <c r="I69" s="281"/>
      <c r="J69" s="281"/>
      <c r="K69" s="283"/>
      <c r="L69" s="281"/>
      <c r="M69" s="283"/>
      <c r="N69" s="254"/>
    </row>
    <row r="70" spans="1:17" hidden="1">
      <c r="A70" s="412"/>
      <c r="B70" s="424"/>
      <c r="C70" s="6"/>
      <c r="D70" s="100"/>
      <c r="E70" s="100"/>
      <c r="F70" s="100"/>
      <c r="G70" s="281">
        <f t="shared" si="0"/>
        <v>0</v>
      </c>
      <c r="H70" s="281"/>
      <c r="I70" s="281"/>
      <c r="J70" s="281"/>
      <c r="K70" s="283"/>
      <c r="L70" s="281"/>
      <c r="M70" s="283"/>
      <c r="N70" s="254"/>
    </row>
    <row r="71" spans="1:17" hidden="1">
      <c r="A71" s="412"/>
      <c r="B71" s="424"/>
      <c r="C71" s="6"/>
      <c r="D71" s="100"/>
      <c r="E71" s="100"/>
      <c r="F71" s="100"/>
      <c r="G71" s="281">
        <f t="shared" si="0"/>
        <v>0</v>
      </c>
      <c r="H71" s="281"/>
      <c r="I71" s="281"/>
      <c r="J71" s="281"/>
      <c r="K71" s="283"/>
      <c r="L71" s="281"/>
      <c r="M71" s="283"/>
      <c r="N71" s="256"/>
    </row>
    <row r="72" spans="1:17" hidden="1">
      <c r="A72" s="412"/>
      <c r="B72" s="424" t="s">
        <v>142</v>
      </c>
      <c r="C72" s="6"/>
      <c r="D72" s="100"/>
      <c r="E72" s="100"/>
      <c r="F72" s="100"/>
      <c r="G72" s="281">
        <f t="shared" si="0"/>
        <v>0</v>
      </c>
      <c r="H72" s="281"/>
      <c r="I72" s="281"/>
      <c r="J72" s="281"/>
      <c r="K72" s="283"/>
      <c r="L72" s="281"/>
      <c r="M72" s="283"/>
      <c r="N72" s="256"/>
      <c r="P72" s="50"/>
      <c r="Q72" s="122"/>
    </row>
    <row r="73" spans="1:17" hidden="1">
      <c r="A73" s="412"/>
      <c r="B73" s="424"/>
      <c r="C73" s="253"/>
      <c r="D73" s="100"/>
      <c r="E73" s="100"/>
      <c r="F73" s="100"/>
      <c r="G73" s="281">
        <f t="shared" si="0"/>
        <v>0</v>
      </c>
      <c r="H73" s="281"/>
      <c r="I73" s="281"/>
      <c r="J73" s="282"/>
      <c r="K73" s="284"/>
      <c r="L73" s="281"/>
      <c r="M73" s="283"/>
      <c r="N73" s="256"/>
      <c r="P73" s="50"/>
    </row>
    <row r="74" spans="1:17" hidden="1">
      <c r="A74" s="257"/>
      <c r="B74" s="254" t="s">
        <v>21</v>
      </c>
      <c r="C74" s="6"/>
      <c r="D74" s="100"/>
      <c r="E74" s="100"/>
      <c r="F74" s="100"/>
      <c r="G74" s="281">
        <f t="shared" si="0"/>
        <v>0</v>
      </c>
      <c r="H74" s="281"/>
      <c r="I74" s="281"/>
      <c r="J74" s="281"/>
      <c r="K74" s="283"/>
      <c r="L74" s="281"/>
      <c r="M74" s="283"/>
      <c r="N74" s="256"/>
      <c r="O74" s="51"/>
    </row>
    <row r="75" spans="1:17">
      <c r="A75" s="412">
        <v>15</v>
      </c>
      <c r="B75" s="424" t="s">
        <v>22</v>
      </c>
      <c r="C75" s="6">
        <v>2215</v>
      </c>
      <c r="D75" s="100">
        <v>64.400000000000006</v>
      </c>
      <c r="E75" s="100"/>
      <c r="F75" s="100"/>
      <c r="G75" s="281">
        <f t="shared" ref="G75:G98" si="1">+D75+E75+F75</f>
        <v>64.400000000000006</v>
      </c>
      <c r="H75" s="281"/>
      <c r="I75" s="281"/>
      <c r="J75" s="281"/>
      <c r="K75" s="283"/>
      <c r="L75" s="281"/>
      <c r="M75" s="283"/>
      <c r="N75" s="424" t="s">
        <v>254</v>
      </c>
    </row>
    <row r="76" spans="1:17">
      <c r="A76" s="412"/>
      <c r="B76" s="424"/>
      <c r="C76" s="6">
        <v>2221</v>
      </c>
      <c r="D76" s="100">
        <v>0.2</v>
      </c>
      <c r="E76" s="100"/>
      <c r="F76" s="100"/>
      <c r="G76" s="281">
        <f t="shared" si="1"/>
        <v>0.2</v>
      </c>
      <c r="H76" s="281"/>
      <c r="I76" s="281"/>
      <c r="J76" s="281"/>
      <c r="K76" s="283"/>
      <c r="L76" s="281"/>
      <c r="M76" s="283"/>
      <c r="N76" s="424"/>
    </row>
    <row r="77" spans="1:17">
      <c r="A77" s="412"/>
      <c r="B77" s="424"/>
      <c r="C77" s="6">
        <v>3112</v>
      </c>
      <c r="D77" s="100">
        <v>3.7</v>
      </c>
      <c r="E77" s="100"/>
      <c r="F77" s="100"/>
      <c r="G77" s="281">
        <f t="shared" si="1"/>
        <v>3.7</v>
      </c>
      <c r="H77" s="281"/>
      <c r="I77" s="281"/>
      <c r="J77" s="281"/>
      <c r="K77" s="283"/>
      <c r="L77" s="281"/>
      <c r="M77" s="283"/>
      <c r="N77" s="424"/>
    </row>
    <row r="78" spans="1:17" hidden="1">
      <c r="A78" s="412"/>
      <c r="B78" s="424"/>
      <c r="C78" s="6"/>
      <c r="D78" s="100"/>
      <c r="E78" s="100"/>
      <c r="F78" s="100"/>
      <c r="G78" s="281">
        <f t="shared" si="1"/>
        <v>0</v>
      </c>
      <c r="H78" s="281"/>
      <c r="I78" s="281"/>
      <c r="J78" s="281"/>
      <c r="K78" s="283"/>
      <c r="L78" s="281"/>
      <c r="M78" s="283"/>
      <c r="N78" s="256"/>
    </row>
    <row r="79" spans="1:17" hidden="1">
      <c r="A79" s="412"/>
      <c r="B79" s="424"/>
      <c r="C79" s="6"/>
      <c r="D79" s="100"/>
      <c r="E79" s="100"/>
      <c r="F79" s="100"/>
      <c r="G79" s="281">
        <f t="shared" si="1"/>
        <v>0</v>
      </c>
      <c r="H79" s="281"/>
      <c r="I79" s="281"/>
      <c r="J79" s="281"/>
      <c r="K79" s="283"/>
      <c r="L79" s="281"/>
      <c r="M79" s="283"/>
      <c r="N79" s="256"/>
    </row>
    <row r="80" spans="1:17" hidden="1">
      <c r="A80" s="412"/>
      <c r="B80" s="424"/>
      <c r="C80" s="6"/>
      <c r="D80" s="100"/>
      <c r="E80" s="100"/>
      <c r="F80" s="100"/>
      <c r="G80" s="281">
        <f t="shared" si="1"/>
        <v>0</v>
      </c>
      <c r="H80" s="281"/>
      <c r="I80" s="281"/>
      <c r="J80" s="281"/>
      <c r="K80" s="283"/>
      <c r="L80" s="281"/>
      <c r="M80" s="283"/>
      <c r="N80" s="256"/>
    </row>
    <row r="81" spans="1:17" hidden="1">
      <c r="A81" s="412"/>
      <c r="B81" s="424"/>
      <c r="C81" s="6"/>
      <c r="D81" s="100"/>
      <c r="E81" s="100"/>
      <c r="F81" s="100"/>
      <c r="G81" s="281">
        <f t="shared" si="1"/>
        <v>0</v>
      </c>
      <c r="H81" s="281"/>
      <c r="I81" s="281"/>
      <c r="J81" s="281"/>
      <c r="K81" s="283"/>
      <c r="L81" s="281"/>
      <c r="M81" s="283"/>
      <c r="N81" s="256"/>
    </row>
    <row r="82" spans="1:17" hidden="1">
      <c r="A82" s="412"/>
      <c r="B82" s="424"/>
      <c r="C82" s="6"/>
      <c r="D82" s="100"/>
      <c r="E82" s="100"/>
      <c r="F82" s="100"/>
      <c r="G82" s="281">
        <f t="shared" si="1"/>
        <v>0</v>
      </c>
      <c r="H82" s="281"/>
      <c r="I82" s="281"/>
      <c r="J82" s="281"/>
      <c r="K82" s="283"/>
      <c r="L82" s="281"/>
      <c r="M82" s="283"/>
      <c r="N82" s="256"/>
      <c r="O82" s="51"/>
      <c r="P82" s="51"/>
      <c r="Q82" s="122"/>
    </row>
    <row r="83" spans="1:17">
      <c r="A83" s="412">
        <v>16</v>
      </c>
      <c r="B83" s="424" t="s">
        <v>146</v>
      </c>
      <c r="C83" s="6">
        <v>2215</v>
      </c>
      <c r="D83" s="100">
        <v>15</v>
      </c>
      <c r="E83" s="100"/>
      <c r="F83" s="100"/>
      <c r="G83" s="281">
        <f t="shared" si="1"/>
        <v>15</v>
      </c>
      <c r="H83" s="281"/>
      <c r="I83" s="281"/>
      <c r="J83" s="281"/>
      <c r="K83" s="283"/>
      <c r="L83" s="281"/>
      <c r="M83" s="283"/>
      <c r="N83" s="424" t="s">
        <v>254</v>
      </c>
    </row>
    <row r="84" spans="1:17">
      <c r="A84" s="412"/>
      <c r="B84" s="424"/>
      <c r="C84" s="6">
        <v>2221</v>
      </c>
      <c r="D84" s="100">
        <v>0.2</v>
      </c>
      <c r="E84" s="100"/>
      <c r="F84" s="100"/>
      <c r="G84" s="281">
        <f t="shared" si="1"/>
        <v>0.2</v>
      </c>
      <c r="H84" s="281"/>
      <c r="I84" s="281"/>
      <c r="J84" s="281"/>
      <c r="K84" s="283"/>
      <c r="L84" s="281"/>
      <c r="M84" s="283"/>
      <c r="N84" s="424"/>
    </row>
    <row r="85" spans="1:17">
      <c r="A85" s="412"/>
      <c r="B85" s="424"/>
      <c r="C85" s="6">
        <v>2222</v>
      </c>
      <c r="D85" s="100">
        <v>2.1</v>
      </c>
      <c r="E85" s="100"/>
      <c r="F85" s="100"/>
      <c r="G85" s="281">
        <f t="shared" si="1"/>
        <v>2.1</v>
      </c>
      <c r="H85" s="281"/>
      <c r="I85" s="281"/>
      <c r="J85" s="281"/>
      <c r="K85" s="283"/>
      <c r="L85" s="281"/>
      <c r="M85" s="283"/>
      <c r="N85" s="424"/>
    </row>
    <row r="86" spans="1:17">
      <c r="A86" s="412"/>
      <c r="B86" s="424"/>
      <c r="C86" s="6">
        <v>2214</v>
      </c>
      <c r="D86" s="100">
        <v>0.4</v>
      </c>
      <c r="E86" s="100"/>
      <c r="F86" s="100"/>
      <c r="G86" s="281">
        <f t="shared" si="1"/>
        <v>0.4</v>
      </c>
      <c r="H86" s="281"/>
      <c r="I86" s="281"/>
      <c r="J86" s="281"/>
      <c r="K86" s="283"/>
      <c r="L86" s="281"/>
      <c r="M86" s="283"/>
      <c r="N86" s="424"/>
    </row>
    <row r="87" spans="1:17">
      <c r="A87" s="412"/>
      <c r="B87" s="424"/>
      <c r="C87" s="6">
        <v>2218</v>
      </c>
      <c r="D87" s="100">
        <v>85.3</v>
      </c>
      <c r="E87" s="100"/>
      <c r="F87" s="100"/>
      <c r="G87" s="281">
        <f t="shared" si="1"/>
        <v>85.3</v>
      </c>
      <c r="H87" s="281"/>
      <c r="I87" s="281"/>
      <c r="J87" s="281"/>
      <c r="K87" s="283"/>
      <c r="L87" s="281"/>
      <c r="M87" s="283"/>
      <c r="N87" s="424"/>
    </row>
    <row r="88" spans="1:17" hidden="1">
      <c r="A88" s="412"/>
      <c r="B88" s="424"/>
      <c r="C88" s="6"/>
      <c r="D88" s="100"/>
      <c r="E88" s="100"/>
      <c r="F88" s="100"/>
      <c r="G88" s="281">
        <f t="shared" si="1"/>
        <v>0</v>
      </c>
      <c r="H88" s="281"/>
      <c r="I88" s="281"/>
      <c r="J88" s="281"/>
      <c r="K88" s="283"/>
      <c r="L88" s="281"/>
      <c r="M88" s="283"/>
      <c r="N88" s="256"/>
    </row>
    <row r="89" spans="1:17" hidden="1">
      <c r="A89" s="412"/>
      <c r="B89" s="424"/>
      <c r="C89" s="6"/>
      <c r="D89" s="100"/>
      <c r="E89" s="100"/>
      <c r="F89" s="100"/>
      <c r="G89" s="281">
        <f t="shared" si="1"/>
        <v>0</v>
      </c>
      <c r="H89" s="281"/>
      <c r="I89" s="281"/>
      <c r="J89" s="281"/>
      <c r="K89" s="283"/>
      <c r="L89" s="281"/>
      <c r="M89" s="283"/>
      <c r="N89" s="256"/>
    </row>
    <row r="90" spans="1:17" hidden="1">
      <c r="A90" s="412"/>
      <c r="B90" s="424"/>
      <c r="C90" s="6"/>
      <c r="D90" s="100"/>
      <c r="E90" s="100"/>
      <c r="F90" s="100"/>
      <c r="G90" s="281">
        <f t="shared" si="1"/>
        <v>0</v>
      </c>
      <c r="H90" s="281"/>
      <c r="I90" s="281"/>
      <c r="J90" s="281"/>
      <c r="K90" s="283"/>
      <c r="L90" s="281"/>
      <c r="M90" s="283"/>
      <c r="N90" s="256"/>
    </row>
    <row r="91" spans="1:17" hidden="1">
      <c r="A91" s="412"/>
      <c r="B91" s="424"/>
      <c r="C91" s="6"/>
      <c r="D91" s="100"/>
      <c r="E91" s="100"/>
      <c r="F91" s="100"/>
      <c r="G91" s="281">
        <f t="shared" si="1"/>
        <v>0</v>
      </c>
      <c r="H91" s="281"/>
      <c r="I91" s="281"/>
      <c r="J91" s="281"/>
      <c r="K91" s="283"/>
      <c r="L91" s="281"/>
      <c r="M91" s="283"/>
      <c r="N91" s="256"/>
    </row>
    <row r="92" spans="1:17" hidden="1">
      <c r="A92" s="412"/>
      <c r="B92" s="424"/>
      <c r="C92" s="6"/>
      <c r="D92" s="100"/>
      <c r="E92" s="100"/>
      <c r="F92" s="100"/>
      <c r="G92" s="281">
        <f t="shared" si="1"/>
        <v>0</v>
      </c>
      <c r="H92" s="281"/>
      <c r="I92" s="281"/>
      <c r="J92" s="281"/>
      <c r="K92" s="283"/>
      <c r="L92" s="281"/>
      <c r="M92" s="283"/>
      <c r="N92" s="256"/>
    </row>
    <row r="93" spans="1:17" hidden="1">
      <c r="A93" s="412"/>
      <c r="B93" s="424"/>
      <c r="C93" s="6"/>
      <c r="D93" s="100"/>
      <c r="E93" s="100"/>
      <c r="F93" s="100"/>
      <c r="G93" s="281">
        <f t="shared" si="1"/>
        <v>0</v>
      </c>
      <c r="H93" s="281"/>
      <c r="I93" s="281"/>
      <c r="J93" s="281"/>
      <c r="K93" s="283"/>
      <c r="L93" s="281"/>
      <c r="M93" s="283"/>
      <c r="N93" s="256"/>
    </row>
    <row r="94" spans="1:17" hidden="1">
      <c r="A94" s="412"/>
      <c r="B94" s="424"/>
      <c r="C94" s="6"/>
      <c r="D94" s="100"/>
      <c r="E94" s="100"/>
      <c r="F94" s="100"/>
      <c r="G94" s="281">
        <f t="shared" si="1"/>
        <v>0</v>
      </c>
      <c r="H94" s="281"/>
      <c r="I94" s="281"/>
      <c r="J94" s="281"/>
      <c r="K94" s="283"/>
      <c r="L94" s="281"/>
      <c r="M94" s="283"/>
      <c r="N94" s="256"/>
      <c r="O94" s="51"/>
      <c r="P94" s="51"/>
      <c r="Q94" s="122"/>
    </row>
    <row r="95" spans="1:17" ht="25.5">
      <c r="A95" s="412">
        <v>17</v>
      </c>
      <c r="B95" s="424" t="s">
        <v>147</v>
      </c>
      <c r="C95" s="6">
        <v>2215</v>
      </c>
      <c r="D95" s="100">
        <v>1.5</v>
      </c>
      <c r="E95" s="100"/>
      <c r="F95" s="100"/>
      <c r="G95" s="281">
        <f t="shared" si="1"/>
        <v>1.5</v>
      </c>
      <c r="H95" s="281"/>
      <c r="I95" s="281"/>
      <c r="J95" s="281"/>
      <c r="K95" s="283"/>
      <c r="L95" s="281"/>
      <c r="M95" s="283"/>
      <c r="N95" s="256" t="s">
        <v>254</v>
      </c>
      <c r="O95" s="51"/>
      <c r="P95" s="51"/>
      <c r="Q95" s="122"/>
    </row>
    <row r="96" spans="1:17" hidden="1">
      <c r="A96" s="412"/>
      <c r="B96" s="424"/>
      <c r="C96" s="6"/>
      <c r="D96" s="100"/>
      <c r="E96" s="100"/>
      <c r="F96" s="100"/>
      <c r="G96" s="281">
        <f t="shared" si="1"/>
        <v>0</v>
      </c>
      <c r="H96" s="281"/>
      <c r="I96" s="281"/>
      <c r="J96" s="281"/>
      <c r="K96" s="283"/>
      <c r="L96" s="281"/>
      <c r="M96" s="283"/>
      <c r="N96" s="256"/>
      <c r="O96" s="51"/>
      <c r="P96" s="51"/>
      <c r="Q96" s="122"/>
    </row>
    <row r="97" spans="1:17" hidden="1">
      <c r="A97" s="412"/>
      <c r="B97" s="424"/>
      <c r="C97" s="6"/>
      <c r="D97" s="100"/>
      <c r="E97" s="100"/>
      <c r="F97" s="100"/>
      <c r="G97" s="281">
        <f t="shared" si="1"/>
        <v>0</v>
      </c>
      <c r="H97" s="281"/>
      <c r="I97" s="281"/>
      <c r="J97" s="281"/>
      <c r="K97" s="283"/>
      <c r="L97" s="281"/>
      <c r="M97" s="283"/>
      <c r="N97" s="256"/>
      <c r="O97" s="51"/>
      <c r="P97" s="51"/>
    </row>
    <row r="98" spans="1:17" ht="25.5">
      <c r="A98" s="253">
        <v>18</v>
      </c>
      <c r="B98" s="254" t="s">
        <v>237</v>
      </c>
      <c r="C98" s="6">
        <v>2222</v>
      </c>
      <c r="D98" s="100">
        <v>3.2</v>
      </c>
      <c r="E98" s="100"/>
      <c r="F98" s="100"/>
      <c r="G98" s="281">
        <f t="shared" si="1"/>
        <v>3.2</v>
      </c>
      <c r="H98" s="281"/>
      <c r="I98" s="281"/>
      <c r="J98" s="281"/>
      <c r="K98" s="283"/>
      <c r="L98" s="281"/>
      <c r="M98" s="283"/>
      <c r="N98" s="256" t="s">
        <v>254</v>
      </c>
      <c r="O98" s="51"/>
      <c r="P98" s="51"/>
    </row>
    <row r="99" spans="1:17">
      <c r="A99" s="412">
        <v>19</v>
      </c>
      <c r="B99" s="458" t="s">
        <v>123</v>
      </c>
      <c r="C99" s="6">
        <v>2111</v>
      </c>
      <c r="D99" s="100"/>
      <c r="E99" s="100"/>
      <c r="F99" s="100"/>
      <c r="G99" s="281"/>
      <c r="H99" s="281">
        <v>145.30000000000001</v>
      </c>
      <c r="I99" s="281"/>
      <c r="J99" s="281"/>
      <c r="K99" s="281"/>
      <c r="L99" s="281"/>
      <c r="M99" s="285">
        <f t="shared" ref="M99:M106" si="2">H99+I99+K99</f>
        <v>145.30000000000001</v>
      </c>
      <c r="N99" s="424" t="s">
        <v>253</v>
      </c>
      <c r="O99" s="51"/>
      <c r="P99" s="51"/>
      <c r="Q99" s="122"/>
    </row>
    <row r="100" spans="1:17">
      <c r="A100" s="412"/>
      <c r="B100" s="456"/>
      <c r="C100" s="6">
        <v>2121</v>
      </c>
      <c r="D100" s="100"/>
      <c r="E100" s="100"/>
      <c r="F100" s="100"/>
      <c r="G100" s="281"/>
      <c r="H100" s="281">
        <v>21.7</v>
      </c>
      <c r="I100" s="281"/>
      <c r="J100" s="281"/>
      <c r="K100" s="281"/>
      <c r="L100" s="281"/>
      <c r="M100" s="285">
        <f t="shared" si="2"/>
        <v>21.7</v>
      </c>
      <c r="N100" s="424"/>
      <c r="O100" s="51"/>
      <c r="P100" s="51"/>
      <c r="Q100" s="122"/>
    </row>
    <row r="101" spans="1:17" ht="25.5">
      <c r="A101" s="412"/>
      <c r="B101" s="456"/>
      <c r="C101" s="262">
        <v>2215</v>
      </c>
      <c r="D101" s="100"/>
      <c r="E101" s="100"/>
      <c r="F101" s="100"/>
      <c r="G101" s="281"/>
      <c r="H101" s="281">
        <v>99</v>
      </c>
      <c r="I101" s="281"/>
      <c r="J101" s="281"/>
      <c r="K101" s="281"/>
      <c r="L101" s="281"/>
      <c r="M101" s="285">
        <f t="shared" si="2"/>
        <v>99</v>
      </c>
      <c r="N101" s="256" t="s">
        <v>302</v>
      </c>
      <c r="O101" s="51"/>
      <c r="P101" s="51"/>
      <c r="Q101" s="122"/>
    </row>
    <row r="102" spans="1:17" ht="25.5">
      <c r="A102" s="412"/>
      <c r="B102" s="456"/>
      <c r="C102" s="6">
        <v>2222</v>
      </c>
      <c r="D102" s="100"/>
      <c r="E102" s="100"/>
      <c r="F102" s="100"/>
      <c r="G102" s="281"/>
      <c r="H102" s="281">
        <v>27.2</v>
      </c>
      <c r="I102" s="281"/>
      <c r="J102" s="281"/>
      <c r="K102" s="281"/>
      <c r="L102" s="281"/>
      <c r="M102" s="285">
        <f t="shared" si="2"/>
        <v>27.2</v>
      </c>
      <c r="N102" s="256" t="s">
        <v>303</v>
      </c>
      <c r="O102" s="51"/>
      <c r="P102" s="51"/>
      <c r="Q102" s="122"/>
    </row>
    <row r="103" spans="1:17">
      <c r="A103" s="412"/>
      <c r="B103" s="457"/>
      <c r="C103" s="6">
        <v>2222</v>
      </c>
      <c r="D103" s="100"/>
      <c r="E103" s="100"/>
      <c r="F103" s="100"/>
      <c r="G103" s="281"/>
      <c r="H103" s="281">
        <v>15</v>
      </c>
      <c r="I103" s="281"/>
      <c r="J103" s="281"/>
      <c r="K103" s="281"/>
      <c r="L103" s="281"/>
      <c r="M103" s="285">
        <f t="shared" si="2"/>
        <v>15</v>
      </c>
      <c r="N103" s="256" t="s">
        <v>252</v>
      </c>
      <c r="O103" s="51"/>
      <c r="P103" s="51"/>
      <c r="Q103" s="122"/>
    </row>
    <row r="104" spans="1:17">
      <c r="A104" s="450">
        <v>20</v>
      </c>
      <c r="B104" s="456" t="s">
        <v>115</v>
      </c>
      <c r="C104" s="124">
        <v>2111</v>
      </c>
      <c r="D104" s="125"/>
      <c r="E104" s="125"/>
      <c r="F104" s="125"/>
      <c r="G104" s="281"/>
      <c r="H104" s="286">
        <v>214.1</v>
      </c>
      <c r="I104" s="286"/>
      <c r="J104" s="286"/>
      <c r="K104" s="285"/>
      <c r="L104" s="286"/>
      <c r="M104" s="285">
        <f t="shared" si="2"/>
        <v>214.1</v>
      </c>
      <c r="N104" s="430" t="s">
        <v>299</v>
      </c>
      <c r="O104" s="51"/>
      <c r="P104" s="51"/>
      <c r="Q104" s="122"/>
    </row>
    <row r="105" spans="1:17" ht="70.150000000000006" customHeight="1">
      <c r="A105" s="412"/>
      <c r="B105" s="456"/>
      <c r="C105" s="262">
        <v>2121</v>
      </c>
      <c r="D105" s="100"/>
      <c r="E105" s="100"/>
      <c r="F105" s="100"/>
      <c r="G105" s="281"/>
      <c r="H105" s="281">
        <v>29.7</v>
      </c>
      <c r="I105" s="281"/>
      <c r="J105" s="281"/>
      <c r="K105" s="281"/>
      <c r="L105" s="281"/>
      <c r="M105" s="285">
        <f t="shared" si="2"/>
        <v>29.7</v>
      </c>
      <c r="N105" s="424"/>
      <c r="O105" s="51"/>
      <c r="P105" s="51"/>
      <c r="Q105" s="122"/>
    </row>
    <row r="106" spans="1:17">
      <c r="A106" s="412"/>
      <c r="B106" s="457"/>
      <c r="C106" s="6">
        <v>2215</v>
      </c>
      <c r="D106" s="100"/>
      <c r="E106" s="100"/>
      <c r="F106" s="100"/>
      <c r="G106" s="281"/>
      <c r="H106" s="281">
        <v>5.5</v>
      </c>
      <c r="I106" s="281"/>
      <c r="J106" s="281"/>
      <c r="K106" s="282"/>
      <c r="L106" s="281"/>
      <c r="M106" s="285">
        <f t="shared" si="2"/>
        <v>5.5</v>
      </c>
      <c r="N106" s="256" t="s">
        <v>258</v>
      </c>
      <c r="O106" s="51"/>
      <c r="P106" s="51"/>
      <c r="Q106" s="122"/>
    </row>
    <row r="107" spans="1:17" ht="33" customHeight="1">
      <c r="A107" s="428">
        <v>21</v>
      </c>
      <c r="B107" s="460" t="s">
        <v>149</v>
      </c>
      <c r="C107" s="262">
        <v>2215</v>
      </c>
      <c r="D107" s="100"/>
      <c r="E107" s="100"/>
      <c r="F107" s="100"/>
      <c r="G107" s="281"/>
      <c r="H107" s="281"/>
      <c r="I107" s="281"/>
      <c r="J107" s="281"/>
      <c r="K107" s="283">
        <v>300</v>
      </c>
      <c r="L107" s="281"/>
      <c r="M107" s="285">
        <f t="shared" ref="M107:M146" si="3">H107+I107+K107</f>
        <v>300</v>
      </c>
      <c r="N107" s="256" t="s">
        <v>297</v>
      </c>
    </row>
    <row r="108" spans="1:17">
      <c r="A108" s="418"/>
      <c r="B108" s="421"/>
      <c r="C108" s="262">
        <v>3122</v>
      </c>
      <c r="D108" s="100"/>
      <c r="E108" s="100"/>
      <c r="F108" s="100"/>
      <c r="G108" s="281"/>
      <c r="H108" s="281"/>
      <c r="I108" s="281"/>
      <c r="J108" s="281"/>
      <c r="K108" s="283"/>
      <c r="L108" s="281"/>
      <c r="M108" s="285">
        <v>1900</v>
      </c>
      <c r="N108" s="298" t="s">
        <v>355</v>
      </c>
      <c r="Q108" s="297"/>
    </row>
    <row r="109" spans="1:17">
      <c r="A109" s="418"/>
      <c r="B109" s="421"/>
      <c r="C109" s="262">
        <v>2221</v>
      </c>
      <c r="D109" s="100"/>
      <c r="E109" s="100"/>
      <c r="F109" s="100"/>
      <c r="G109" s="281"/>
      <c r="H109" s="281"/>
      <c r="I109" s="281"/>
      <c r="J109" s="281"/>
      <c r="K109" s="283"/>
      <c r="L109" s="281"/>
      <c r="M109" s="285">
        <v>300</v>
      </c>
      <c r="N109" s="264" t="s">
        <v>346</v>
      </c>
    </row>
    <row r="110" spans="1:17" ht="25.5">
      <c r="A110" s="418"/>
      <c r="B110" s="421"/>
      <c r="C110" s="262">
        <v>3122</v>
      </c>
      <c r="D110" s="100"/>
      <c r="E110" s="100"/>
      <c r="F110" s="100"/>
      <c r="G110" s="281"/>
      <c r="H110" s="281"/>
      <c r="I110" s="281"/>
      <c r="J110" s="281"/>
      <c r="K110" s="283"/>
      <c r="L110" s="281"/>
      <c r="M110" s="285">
        <v>100</v>
      </c>
      <c r="N110" s="264" t="s">
        <v>347</v>
      </c>
    </row>
    <row r="111" spans="1:17">
      <c r="A111" s="450"/>
      <c r="B111" s="461"/>
      <c r="C111" s="262">
        <v>3122</v>
      </c>
      <c r="D111" s="100"/>
      <c r="E111" s="100"/>
      <c r="F111" s="100"/>
      <c r="G111" s="281"/>
      <c r="H111" s="281"/>
      <c r="I111" s="281"/>
      <c r="J111" s="281"/>
      <c r="K111" s="283"/>
      <c r="L111" s="281"/>
      <c r="M111" s="285">
        <v>300</v>
      </c>
      <c r="N111" s="264" t="s">
        <v>348</v>
      </c>
    </row>
    <row r="112" spans="1:17" ht="26.45" customHeight="1">
      <c r="A112" s="428">
        <v>22</v>
      </c>
      <c r="B112" s="460" t="s">
        <v>16</v>
      </c>
      <c r="C112" s="262">
        <v>3111</v>
      </c>
      <c r="D112" s="100"/>
      <c r="E112" s="100"/>
      <c r="F112" s="100"/>
      <c r="G112" s="281"/>
      <c r="H112" s="281">
        <v>5129.3</v>
      </c>
      <c r="I112" s="281"/>
      <c r="J112" s="281"/>
      <c r="K112" s="283"/>
      <c r="L112" s="281"/>
      <c r="M112" s="285">
        <f t="shared" ref="M112:M145" si="4">H112+I112+K112</f>
        <v>5129.3</v>
      </c>
      <c r="N112" s="256" t="s">
        <v>271</v>
      </c>
      <c r="O112" s="51"/>
      <c r="P112" s="51"/>
      <c r="Q112" s="122"/>
    </row>
    <row r="113" spans="1:17">
      <c r="A113" s="418"/>
      <c r="B113" s="421"/>
      <c r="C113" s="262">
        <v>3111</v>
      </c>
      <c r="D113" s="100"/>
      <c r="E113" s="100"/>
      <c r="F113" s="100"/>
      <c r="G113" s="281"/>
      <c r="H113" s="281"/>
      <c r="I113" s="281"/>
      <c r="J113" s="281"/>
      <c r="K113" s="283">
        <v>7000</v>
      </c>
      <c r="L113" s="281"/>
      <c r="M113" s="285">
        <f t="shared" si="4"/>
        <v>7000</v>
      </c>
      <c r="N113" s="256" t="s">
        <v>335</v>
      </c>
      <c r="O113" s="51"/>
      <c r="P113" s="51"/>
      <c r="Q113" s="122"/>
    </row>
    <row r="114" spans="1:17" ht="38.25">
      <c r="A114" s="418"/>
      <c r="B114" s="421"/>
      <c r="C114" s="262">
        <v>3111</v>
      </c>
      <c r="D114" s="100"/>
      <c r="E114" s="100"/>
      <c r="F114" s="100"/>
      <c r="G114" s="281"/>
      <c r="H114" s="281"/>
      <c r="I114" s="281"/>
      <c r="J114" s="281"/>
      <c r="K114" s="283">
        <v>2965.2</v>
      </c>
      <c r="L114" s="281"/>
      <c r="M114" s="285">
        <f t="shared" si="4"/>
        <v>2965.2</v>
      </c>
      <c r="N114" s="263" t="s">
        <v>300</v>
      </c>
      <c r="O114" s="51"/>
      <c r="P114" s="51"/>
      <c r="Q114" s="122"/>
    </row>
    <row r="115" spans="1:17" ht="38.25">
      <c r="A115" s="418"/>
      <c r="B115" s="421"/>
      <c r="C115" s="262">
        <v>3111</v>
      </c>
      <c r="D115" s="100"/>
      <c r="E115" s="100"/>
      <c r="F115" s="100"/>
      <c r="G115" s="281"/>
      <c r="H115" s="281"/>
      <c r="I115" s="281"/>
      <c r="J115" s="281"/>
      <c r="K115" s="283">
        <v>5500</v>
      </c>
      <c r="L115" s="281"/>
      <c r="M115" s="285">
        <f t="shared" si="4"/>
        <v>5500</v>
      </c>
      <c r="N115" s="256" t="s">
        <v>301</v>
      </c>
      <c r="O115" s="51"/>
      <c r="P115" s="51"/>
      <c r="Q115" s="122"/>
    </row>
    <row r="116" spans="1:17">
      <c r="A116" s="450"/>
      <c r="B116" s="461"/>
      <c r="C116" s="262">
        <v>2215</v>
      </c>
      <c r="D116" s="100"/>
      <c r="E116" s="100"/>
      <c r="F116" s="100"/>
      <c r="G116" s="281"/>
      <c r="H116" s="281"/>
      <c r="I116" s="281"/>
      <c r="J116" s="281"/>
      <c r="K116" s="283"/>
      <c r="L116" s="281"/>
      <c r="M116" s="285">
        <v>200</v>
      </c>
      <c r="N116" s="264" t="s">
        <v>349</v>
      </c>
      <c r="O116" s="51"/>
      <c r="P116" s="51"/>
      <c r="Q116" s="122"/>
    </row>
    <row r="117" spans="1:17" ht="18.600000000000001" customHeight="1">
      <c r="A117" s="428">
        <v>23</v>
      </c>
      <c r="B117" s="428" t="s">
        <v>17</v>
      </c>
      <c r="C117" s="253">
        <v>2222</v>
      </c>
      <c r="D117" s="100"/>
      <c r="E117" s="100"/>
      <c r="F117" s="100"/>
      <c r="G117" s="281"/>
      <c r="H117" s="281">
        <v>150</v>
      </c>
      <c r="I117" s="281"/>
      <c r="J117" s="281"/>
      <c r="K117" s="281"/>
      <c r="L117" s="281"/>
      <c r="M117" s="285">
        <v>80.400000000000006</v>
      </c>
      <c r="N117" s="256" t="s">
        <v>239</v>
      </c>
      <c r="O117" s="51"/>
      <c r="P117" s="51"/>
      <c r="Q117" s="122"/>
    </row>
    <row r="118" spans="1:17">
      <c r="A118" s="450"/>
      <c r="B118" s="450"/>
      <c r="C118" s="262">
        <v>2222</v>
      </c>
      <c r="D118" s="100"/>
      <c r="E118" s="100"/>
      <c r="F118" s="100"/>
      <c r="G118" s="281"/>
      <c r="H118" s="281"/>
      <c r="I118" s="281"/>
      <c r="J118" s="281"/>
      <c r="K118" s="281"/>
      <c r="L118" s="281"/>
      <c r="M118" s="285">
        <v>69.599999999999994</v>
      </c>
      <c r="N118" s="264" t="s">
        <v>304</v>
      </c>
      <c r="O118" s="51"/>
      <c r="P118" s="51"/>
      <c r="Q118" s="122"/>
    </row>
    <row r="119" spans="1:17">
      <c r="A119" s="428">
        <v>24</v>
      </c>
      <c r="B119" s="429" t="s">
        <v>18</v>
      </c>
      <c r="C119" s="6">
        <v>2111</v>
      </c>
      <c r="D119" s="100"/>
      <c r="E119" s="100"/>
      <c r="F119" s="100"/>
      <c r="G119" s="281"/>
      <c r="H119" s="281">
        <v>99.7</v>
      </c>
      <c r="I119" s="281"/>
      <c r="J119" s="281"/>
      <c r="K119" s="283"/>
      <c r="L119" s="281"/>
      <c r="M119" s="285">
        <f t="shared" si="4"/>
        <v>99.7</v>
      </c>
      <c r="N119" s="424" t="s">
        <v>305</v>
      </c>
      <c r="O119" s="51"/>
      <c r="P119" s="51"/>
      <c r="Q119" s="122"/>
    </row>
    <row r="120" spans="1:17">
      <c r="A120" s="418"/>
      <c r="B120" s="455"/>
      <c r="C120" s="6">
        <v>2121</v>
      </c>
      <c r="D120" s="100"/>
      <c r="E120" s="100"/>
      <c r="F120" s="100"/>
      <c r="G120" s="281"/>
      <c r="H120" s="281">
        <v>17.2</v>
      </c>
      <c r="I120" s="281"/>
      <c r="J120" s="281"/>
      <c r="K120" s="283"/>
      <c r="L120" s="281"/>
      <c r="M120" s="285">
        <f t="shared" si="4"/>
        <v>17.2</v>
      </c>
      <c r="N120" s="424"/>
      <c r="O120" s="51"/>
      <c r="P120" s="51"/>
      <c r="Q120" s="122"/>
    </row>
    <row r="121" spans="1:17" ht="25.5">
      <c r="A121" s="418"/>
      <c r="B121" s="455"/>
      <c r="C121" s="253">
        <v>2222</v>
      </c>
      <c r="D121" s="100"/>
      <c r="E121" s="100"/>
      <c r="F121" s="100"/>
      <c r="G121" s="281"/>
      <c r="H121" s="281">
        <v>745</v>
      </c>
      <c r="I121" s="281"/>
      <c r="J121" s="281"/>
      <c r="K121" s="283"/>
      <c r="L121" s="281"/>
      <c r="M121" s="285">
        <f t="shared" si="4"/>
        <v>745</v>
      </c>
      <c r="N121" s="256" t="s">
        <v>243</v>
      </c>
      <c r="O121" s="51"/>
      <c r="P121" s="51"/>
      <c r="Q121" s="122"/>
    </row>
    <row r="122" spans="1:17" ht="25.5">
      <c r="A122" s="418"/>
      <c r="B122" s="455"/>
      <c r="C122" s="262">
        <v>3113</v>
      </c>
      <c r="D122" s="100"/>
      <c r="E122" s="100"/>
      <c r="F122" s="100"/>
      <c r="G122" s="281"/>
      <c r="H122" s="281">
        <v>119</v>
      </c>
      <c r="I122" s="281"/>
      <c r="J122" s="281"/>
      <c r="K122" s="283"/>
      <c r="L122" s="281"/>
      <c r="M122" s="285">
        <f t="shared" si="4"/>
        <v>119</v>
      </c>
      <c r="N122" s="256" t="s">
        <v>244</v>
      </c>
      <c r="O122" s="51"/>
      <c r="P122" s="51"/>
      <c r="Q122" s="122"/>
    </row>
    <row r="123" spans="1:17">
      <c r="A123" s="418"/>
      <c r="B123" s="455"/>
      <c r="C123" s="262">
        <v>2214</v>
      </c>
      <c r="D123" s="100"/>
      <c r="E123" s="100"/>
      <c r="F123" s="100"/>
      <c r="G123" s="281"/>
      <c r="H123" s="281"/>
      <c r="I123" s="281"/>
      <c r="J123" s="281"/>
      <c r="K123" s="283"/>
      <c r="L123" s="281"/>
      <c r="M123" s="285">
        <v>50</v>
      </c>
      <c r="N123" s="264" t="s">
        <v>342</v>
      </c>
      <c r="O123" s="51"/>
      <c r="P123" s="51"/>
      <c r="Q123" s="122"/>
    </row>
    <row r="124" spans="1:17" ht="18.600000000000001" customHeight="1">
      <c r="A124" s="450"/>
      <c r="B124" s="430"/>
      <c r="C124" s="262">
        <v>3113</v>
      </c>
      <c r="D124" s="100"/>
      <c r="E124" s="100"/>
      <c r="F124" s="100"/>
      <c r="G124" s="281"/>
      <c r="H124" s="281"/>
      <c r="I124" s="281"/>
      <c r="J124" s="281"/>
      <c r="K124" s="283"/>
      <c r="L124" s="281"/>
      <c r="M124" s="285">
        <v>150</v>
      </c>
      <c r="N124" s="264" t="s">
        <v>343</v>
      </c>
      <c r="O124" s="51"/>
      <c r="P124" s="51"/>
      <c r="Q124" s="122"/>
    </row>
    <row r="125" spans="1:17" ht="15" customHeight="1">
      <c r="A125" s="428">
        <v>25</v>
      </c>
      <c r="B125" s="429" t="s">
        <v>150</v>
      </c>
      <c r="C125" s="6">
        <v>2511</v>
      </c>
      <c r="D125" s="100"/>
      <c r="E125" s="100"/>
      <c r="F125" s="100"/>
      <c r="G125" s="281"/>
      <c r="H125" s="281">
        <v>2500</v>
      </c>
      <c r="I125" s="281"/>
      <c r="J125" s="281"/>
      <c r="K125" s="283"/>
      <c r="L125" s="281"/>
      <c r="M125" s="285">
        <f t="shared" si="4"/>
        <v>2500</v>
      </c>
      <c r="N125" s="254" t="s">
        <v>245</v>
      </c>
      <c r="O125" s="51"/>
      <c r="P125" s="51"/>
      <c r="Q125" s="122"/>
    </row>
    <row r="126" spans="1:17" ht="25.5">
      <c r="A126" s="418"/>
      <c r="B126" s="455"/>
      <c r="C126" s="6">
        <v>2511</v>
      </c>
      <c r="D126" s="100"/>
      <c r="E126" s="100"/>
      <c r="F126" s="100"/>
      <c r="G126" s="281"/>
      <c r="H126" s="281"/>
      <c r="I126" s="281"/>
      <c r="J126" s="281"/>
      <c r="K126" s="283"/>
      <c r="L126" s="281"/>
      <c r="M126" s="285">
        <v>700</v>
      </c>
      <c r="N126" s="263" t="s">
        <v>352</v>
      </c>
      <c r="O126" s="51"/>
      <c r="P126" s="51"/>
      <c r="Q126" s="122"/>
    </row>
    <row r="127" spans="1:17" ht="15.6" customHeight="1">
      <c r="A127" s="418"/>
      <c r="B127" s="455"/>
      <c r="C127" s="6">
        <v>2511</v>
      </c>
      <c r="D127" s="100"/>
      <c r="E127" s="100"/>
      <c r="F127" s="100"/>
      <c r="G127" s="281"/>
      <c r="H127" s="281"/>
      <c r="I127" s="281"/>
      <c r="J127" s="281"/>
      <c r="K127" s="283"/>
      <c r="L127" s="281"/>
      <c r="M127" s="285">
        <v>200</v>
      </c>
      <c r="N127" s="263" t="s">
        <v>351</v>
      </c>
      <c r="O127" s="51"/>
      <c r="P127" s="51"/>
      <c r="Q127" s="122"/>
    </row>
    <row r="128" spans="1:17" ht="25.5">
      <c r="A128" s="418"/>
      <c r="B128" s="455"/>
      <c r="C128" s="6">
        <v>2511</v>
      </c>
      <c r="D128" s="100"/>
      <c r="E128" s="100"/>
      <c r="F128" s="100"/>
      <c r="G128" s="281"/>
      <c r="H128" s="281"/>
      <c r="I128" s="281"/>
      <c r="J128" s="281"/>
      <c r="K128" s="283"/>
      <c r="L128" s="281"/>
      <c r="M128" s="285">
        <v>300</v>
      </c>
      <c r="N128" s="263" t="s">
        <v>350</v>
      </c>
      <c r="O128" s="51"/>
      <c r="P128" s="51"/>
      <c r="Q128" s="122"/>
    </row>
    <row r="129" spans="1:17" ht="30" customHeight="1">
      <c r="A129" s="450"/>
      <c r="B129" s="430"/>
      <c r="C129" s="6">
        <v>2511</v>
      </c>
      <c r="D129" s="100"/>
      <c r="E129" s="100"/>
      <c r="F129" s="100"/>
      <c r="G129" s="281"/>
      <c r="H129" s="281"/>
      <c r="I129" s="281"/>
      <c r="J129" s="281"/>
      <c r="K129" s="283"/>
      <c r="L129" s="281"/>
      <c r="M129" s="285">
        <v>700</v>
      </c>
      <c r="N129" s="263" t="s">
        <v>353</v>
      </c>
      <c r="O129" s="51"/>
      <c r="P129" s="51"/>
      <c r="Q129" s="122"/>
    </row>
    <row r="130" spans="1:17">
      <c r="A130" s="428">
        <v>26</v>
      </c>
      <c r="B130" s="429" t="s">
        <v>28</v>
      </c>
      <c r="C130" s="6">
        <v>3141</v>
      </c>
      <c r="D130" s="100"/>
      <c r="E130" s="100"/>
      <c r="F130" s="100"/>
      <c r="G130" s="281"/>
      <c r="H130" s="281">
        <v>24000</v>
      </c>
      <c r="I130" s="281"/>
      <c r="J130" s="281"/>
      <c r="K130" s="283"/>
      <c r="L130" s="281"/>
      <c r="M130" s="285">
        <f t="shared" si="4"/>
        <v>24000</v>
      </c>
      <c r="N130" s="424" t="s">
        <v>323</v>
      </c>
      <c r="O130" s="51"/>
      <c r="P130" s="51"/>
      <c r="Q130" s="122"/>
    </row>
    <row r="131" spans="1:17">
      <c r="A131" s="418"/>
      <c r="B131" s="455"/>
      <c r="C131" s="6">
        <v>2215</v>
      </c>
      <c r="D131" s="100"/>
      <c r="E131" s="100"/>
      <c r="F131" s="100"/>
      <c r="G131" s="281"/>
      <c r="H131" s="281">
        <v>16000</v>
      </c>
      <c r="I131" s="281"/>
      <c r="J131" s="281"/>
      <c r="K131" s="283"/>
      <c r="L131" s="281"/>
      <c r="M131" s="285">
        <f t="shared" si="4"/>
        <v>16000</v>
      </c>
      <c r="N131" s="424"/>
      <c r="O131" s="51"/>
      <c r="P131" s="51"/>
      <c r="Q131" s="122"/>
    </row>
    <row r="132" spans="1:17" ht="25.5">
      <c r="A132" s="418"/>
      <c r="B132" s="455"/>
      <c r="C132" s="253">
        <v>2215</v>
      </c>
      <c r="D132" s="100"/>
      <c r="E132" s="100"/>
      <c r="F132" s="100"/>
      <c r="G132" s="281"/>
      <c r="H132" s="281">
        <v>100</v>
      </c>
      <c r="I132" s="281"/>
      <c r="J132" s="281"/>
      <c r="K132" s="283"/>
      <c r="L132" s="281"/>
      <c r="M132" s="285">
        <f t="shared" si="4"/>
        <v>100</v>
      </c>
      <c r="N132" s="254" t="s">
        <v>242</v>
      </c>
      <c r="O132" s="51"/>
      <c r="P132" s="51"/>
      <c r="Q132" s="122"/>
    </row>
    <row r="133" spans="1:17">
      <c r="A133" s="450"/>
      <c r="B133" s="430"/>
      <c r="C133" s="6">
        <v>2215</v>
      </c>
      <c r="D133" s="100"/>
      <c r="E133" s="100"/>
      <c r="F133" s="100"/>
      <c r="G133" s="281"/>
      <c r="H133" s="281"/>
      <c r="I133" s="281">
        <v>194.6</v>
      </c>
      <c r="J133" s="281"/>
      <c r="K133" s="283"/>
      <c r="L133" s="281"/>
      <c r="M133" s="285">
        <f t="shared" si="4"/>
        <v>194.6</v>
      </c>
      <c r="N133" s="254" t="s">
        <v>275</v>
      </c>
      <c r="O133" s="51"/>
      <c r="P133" s="51"/>
      <c r="Q133" s="122"/>
    </row>
    <row r="134" spans="1:17">
      <c r="A134" s="412">
        <v>27</v>
      </c>
      <c r="B134" s="429" t="s">
        <v>237</v>
      </c>
      <c r="C134" s="6">
        <v>2212</v>
      </c>
      <c r="D134" s="100"/>
      <c r="E134" s="100"/>
      <c r="F134" s="100"/>
      <c r="G134" s="281"/>
      <c r="H134" s="281">
        <v>12</v>
      </c>
      <c r="I134" s="281"/>
      <c r="J134" s="281"/>
      <c r="K134" s="283"/>
      <c r="L134" s="281"/>
      <c r="M134" s="285">
        <f t="shared" si="4"/>
        <v>12</v>
      </c>
      <c r="N134" s="256" t="s">
        <v>264</v>
      </c>
      <c r="O134" s="51"/>
      <c r="P134" s="51"/>
      <c r="Q134" s="122"/>
    </row>
    <row r="135" spans="1:17">
      <c r="A135" s="412"/>
      <c r="B135" s="455"/>
      <c r="C135" s="6">
        <v>2215</v>
      </c>
      <c r="D135" s="100"/>
      <c r="E135" s="100"/>
      <c r="F135" s="100"/>
      <c r="G135" s="281"/>
      <c r="H135" s="281">
        <v>6.4</v>
      </c>
      <c r="I135" s="281"/>
      <c r="J135" s="281"/>
      <c r="K135" s="283"/>
      <c r="L135" s="281"/>
      <c r="M135" s="285">
        <f t="shared" si="4"/>
        <v>6.4</v>
      </c>
      <c r="N135" s="256" t="s">
        <v>258</v>
      </c>
      <c r="O135" s="51"/>
      <c r="P135" s="51"/>
      <c r="Q135" s="122"/>
    </row>
    <row r="136" spans="1:17" ht="25.5">
      <c r="A136" s="412"/>
      <c r="B136" s="455"/>
      <c r="C136" s="6">
        <v>2215</v>
      </c>
      <c r="D136" s="100"/>
      <c r="E136" s="100"/>
      <c r="F136" s="100"/>
      <c r="G136" s="281"/>
      <c r="H136" s="281">
        <v>120</v>
      </c>
      <c r="I136" s="281"/>
      <c r="J136" s="281"/>
      <c r="K136" s="283"/>
      <c r="L136" s="281"/>
      <c r="M136" s="285">
        <f t="shared" si="4"/>
        <v>120</v>
      </c>
      <c r="N136" s="256" t="s">
        <v>265</v>
      </c>
      <c r="O136" s="51"/>
      <c r="P136" s="51"/>
      <c r="Q136" s="122"/>
    </row>
    <row r="137" spans="1:17">
      <c r="A137" s="412"/>
      <c r="B137" s="455"/>
      <c r="C137" s="6">
        <v>2215</v>
      </c>
      <c r="D137" s="100"/>
      <c r="E137" s="100"/>
      <c r="F137" s="100"/>
      <c r="G137" s="281"/>
      <c r="H137" s="281">
        <v>5</v>
      </c>
      <c r="I137" s="281"/>
      <c r="J137" s="281"/>
      <c r="K137" s="283"/>
      <c r="L137" s="281"/>
      <c r="M137" s="285">
        <f t="shared" si="4"/>
        <v>5</v>
      </c>
      <c r="N137" s="256" t="s">
        <v>266</v>
      </c>
      <c r="O137" s="51"/>
      <c r="P137" s="51"/>
      <c r="Q137" s="122"/>
    </row>
    <row r="138" spans="1:17" ht="15" customHeight="1">
      <c r="A138" s="412"/>
      <c r="B138" s="455"/>
      <c r="C138" s="6">
        <v>2222</v>
      </c>
      <c r="D138" s="100"/>
      <c r="E138" s="100"/>
      <c r="F138" s="100"/>
      <c r="G138" s="281"/>
      <c r="H138" s="281">
        <v>72</v>
      </c>
      <c r="I138" s="281"/>
      <c r="J138" s="281"/>
      <c r="K138" s="283"/>
      <c r="L138" s="281"/>
      <c r="M138" s="285">
        <f t="shared" si="4"/>
        <v>72</v>
      </c>
      <c r="N138" s="256" t="s">
        <v>267</v>
      </c>
      <c r="O138" s="51"/>
      <c r="P138" s="51"/>
      <c r="Q138" s="122"/>
    </row>
    <row r="139" spans="1:17">
      <c r="A139" s="412"/>
      <c r="B139" s="455"/>
      <c r="C139" s="6">
        <v>2222</v>
      </c>
      <c r="D139" s="100"/>
      <c r="E139" s="100"/>
      <c r="F139" s="100"/>
      <c r="G139" s="281"/>
      <c r="H139" s="281">
        <v>9</v>
      </c>
      <c r="I139" s="281"/>
      <c r="J139" s="281"/>
      <c r="K139" s="283"/>
      <c r="L139" s="281"/>
      <c r="M139" s="285">
        <f t="shared" si="4"/>
        <v>9</v>
      </c>
      <c r="N139" s="256" t="s">
        <v>268</v>
      </c>
      <c r="O139" s="51"/>
      <c r="P139" s="51"/>
      <c r="Q139" s="122"/>
    </row>
    <row r="140" spans="1:17" ht="25.5">
      <c r="A140" s="412"/>
      <c r="B140" s="455"/>
      <c r="C140" s="6">
        <v>2222</v>
      </c>
      <c r="D140" s="100"/>
      <c r="E140" s="100"/>
      <c r="F140" s="100"/>
      <c r="G140" s="281"/>
      <c r="H140" s="281">
        <v>19.2</v>
      </c>
      <c r="I140" s="281"/>
      <c r="J140" s="281"/>
      <c r="K140" s="283"/>
      <c r="L140" s="281"/>
      <c r="M140" s="285">
        <f t="shared" si="4"/>
        <v>19.2</v>
      </c>
      <c r="N140" s="256" t="s">
        <v>269</v>
      </c>
      <c r="O140" s="51"/>
      <c r="P140" s="51"/>
      <c r="Q140" s="122"/>
    </row>
    <row r="141" spans="1:17" ht="25.5">
      <c r="A141" s="412"/>
      <c r="B141" s="455"/>
      <c r="C141" s="6">
        <v>2222</v>
      </c>
      <c r="D141" s="100"/>
      <c r="E141" s="100"/>
      <c r="F141" s="100"/>
      <c r="G141" s="281"/>
      <c r="H141" s="281">
        <v>19.5</v>
      </c>
      <c r="I141" s="281"/>
      <c r="J141" s="281"/>
      <c r="K141" s="283"/>
      <c r="L141" s="281"/>
      <c r="M141" s="285">
        <f t="shared" si="4"/>
        <v>19.5</v>
      </c>
      <c r="N141" s="256" t="s">
        <v>270</v>
      </c>
      <c r="O141" s="51"/>
      <c r="P141" s="51"/>
      <c r="Q141" s="122"/>
    </row>
    <row r="142" spans="1:17">
      <c r="A142" s="412"/>
      <c r="B142" s="430"/>
      <c r="C142" s="6">
        <v>3112</v>
      </c>
      <c r="D142" s="100"/>
      <c r="E142" s="100"/>
      <c r="F142" s="100"/>
      <c r="G142" s="281"/>
      <c r="H142" s="281">
        <v>53</v>
      </c>
      <c r="I142" s="281"/>
      <c r="J142" s="281"/>
      <c r="K142" s="283"/>
      <c r="L142" s="281"/>
      <c r="M142" s="285">
        <f t="shared" si="4"/>
        <v>53</v>
      </c>
      <c r="N142" s="256" t="s">
        <v>246</v>
      </c>
      <c r="O142" s="51"/>
      <c r="P142" s="51"/>
      <c r="Q142" s="122"/>
    </row>
    <row r="143" spans="1:17">
      <c r="A143" s="253">
        <v>28</v>
      </c>
      <c r="B143" s="254" t="s">
        <v>139</v>
      </c>
      <c r="C143" s="6">
        <v>2215</v>
      </c>
      <c r="D143" s="100"/>
      <c r="E143" s="100"/>
      <c r="F143" s="100"/>
      <c r="G143" s="281"/>
      <c r="H143" s="281">
        <v>6</v>
      </c>
      <c r="I143" s="281"/>
      <c r="J143" s="281"/>
      <c r="K143" s="283"/>
      <c r="L143" s="281"/>
      <c r="M143" s="285">
        <f t="shared" si="4"/>
        <v>6</v>
      </c>
      <c r="N143" s="256" t="s">
        <v>258</v>
      </c>
      <c r="O143" s="51"/>
      <c r="P143" s="51"/>
      <c r="Q143" s="122"/>
    </row>
    <row r="144" spans="1:17">
      <c r="A144" s="428">
        <v>29</v>
      </c>
      <c r="B144" s="429" t="s">
        <v>20</v>
      </c>
      <c r="C144" s="6">
        <v>2215</v>
      </c>
      <c r="D144" s="100"/>
      <c r="E144" s="100"/>
      <c r="F144" s="100"/>
      <c r="G144" s="281"/>
      <c r="H144" s="281">
        <v>5.2</v>
      </c>
      <c r="I144" s="281"/>
      <c r="J144" s="281"/>
      <c r="K144" s="283"/>
      <c r="L144" s="281"/>
      <c r="M144" s="285">
        <f t="shared" si="4"/>
        <v>5.2</v>
      </c>
      <c r="N144" s="256" t="s">
        <v>258</v>
      </c>
      <c r="O144" s="51"/>
      <c r="P144" s="51"/>
      <c r="Q144" s="122"/>
    </row>
    <row r="145" spans="1:17">
      <c r="A145" s="418"/>
      <c r="B145" s="455"/>
      <c r="C145" s="6">
        <v>2231</v>
      </c>
      <c r="D145" s="100"/>
      <c r="E145" s="100"/>
      <c r="F145" s="100"/>
      <c r="G145" s="281"/>
      <c r="H145" s="281">
        <v>5</v>
      </c>
      <c r="I145" s="281"/>
      <c r="J145" s="281"/>
      <c r="K145" s="283"/>
      <c r="L145" s="281"/>
      <c r="M145" s="285">
        <f t="shared" si="4"/>
        <v>5</v>
      </c>
      <c r="N145" s="256" t="s">
        <v>241</v>
      </c>
      <c r="O145" s="51"/>
      <c r="P145" s="51"/>
      <c r="Q145" s="122"/>
    </row>
    <row r="146" spans="1:17">
      <c r="A146" s="450"/>
      <c r="B146" s="430"/>
      <c r="C146" s="124">
        <v>2222</v>
      </c>
      <c r="D146" s="125"/>
      <c r="E146" s="125"/>
      <c r="F146" s="125"/>
      <c r="G146" s="281"/>
      <c r="H146" s="286"/>
      <c r="I146" s="286"/>
      <c r="J146" s="286"/>
      <c r="K146" s="287">
        <v>150</v>
      </c>
      <c r="L146" s="286"/>
      <c r="M146" s="285">
        <f t="shared" si="3"/>
        <v>150</v>
      </c>
      <c r="N146" s="255" t="s">
        <v>289</v>
      </c>
      <c r="O146" s="51"/>
      <c r="P146" s="51"/>
    </row>
    <row r="147" spans="1:17">
      <c r="A147" s="253">
        <v>30</v>
      </c>
      <c r="B147" s="261" t="s">
        <v>19</v>
      </c>
      <c r="C147" s="6">
        <v>2215</v>
      </c>
      <c r="D147" s="100"/>
      <c r="E147" s="100"/>
      <c r="F147" s="100"/>
      <c r="G147" s="281"/>
      <c r="H147" s="281">
        <v>7.5</v>
      </c>
      <c r="I147" s="281"/>
      <c r="J147" s="281"/>
      <c r="K147" s="282"/>
      <c r="L147" s="281"/>
      <c r="M147" s="285">
        <f t="shared" ref="M147:M155" si="5">H147+I147+K147</f>
        <v>7.5</v>
      </c>
      <c r="N147" s="256" t="s">
        <v>258</v>
      </c>
      <c r="O147" s="51"/>
      <c r="P147" s="51"/>
      <c r="Q147" s="122"/>
    </row>
    <row r="148" spans="1:17">
      <c r="A148" s="428">
        <v>31</v>
      </c>
      <c r="B148" s="458" t="s">
        <v>23</v>
      </c>
      <c r="C148" s="6">
        <v>2215</v>
      </c>
      <c r="D148" s="100"/>
      <c r="E148" s="100"/>
      <c r="F148" s="100"/>
      <c r="G148" s="281"/>
      <c r="H148" s="281">
        <v>8.4</v>
      </c>
      <c r="I148" s="281"/>
      <c r="J148" s="281"/>
      <c r="K148" s="282"/>
      <c r="L148" s="281"/>
      <c r="M148" s="285">
        <f t="shared" si="5"/>
        <v>8.4</v>
      </c>
      <c r="N148" s="256" t="s">
        <v>258</v>
      </c>
      <c r="O148" s="51"/>
      <c r="P148" s="51"/>
      <c r="Q148" s="122"/>
    </row>
    <row r="149" spans="1:17" ht="25.5">
      <c r="A149" s="450"/>
      <c r="B149" s="457"/>
      <c r="C149" s="6">
        <v>2215</v>
      </c>
      <c r="D149" s="100"/>
      <c r="E149" s="100"/>
      <c r="F149" s="100"/>
      <c r="G149" s="281"/>
      <c r="H149" s="281"/>
      <c r="I149" s="281"/>
      <c r="J149" s="281"/>
      <c r="K149" s="282">
        <v>5.5</v>
      </c>
      <c r="L149" s="281"/>
      <c r="M149" s="285">
        <f t="shared" si="5"/>
        <v>5.5</v>
      </c>
      <c r="N149" s="256" t="s">
        <v>354</v>
      </c>
      <c r="O149" s="51"/>
      <c r="P149" s="51"/>
      <c r="Q149" s="122"/>
    </row>
    <row r="150" spans="1:17">
      <c r="A150" s="253">
        <v>32</v>
      </c>
      <c r="B150" s="261" t="s">
        <v>126</v>
      </c>
      <c r="C150" s="6">
        <v>2215</v>
      </c>
      <c r="D150" s="100"/>
      <c r="E150" s="100"/>
      <c r="F150" s="100"/>
      <c r="G150" s="281"/>
      <c r="H150" s="281">
        <v>8.4</v>
      </c>
      <c r="I150" s="281"/>
      <c r="J150" s="281"/>
      <c r="K150" s="282"/>
      <c r="L150" s="281"/>
      <c r="M150" s="285">
        <f t="shared" si="5"/>
        <v>8.4</v>
      </c>
      <c r="N150" s="256" t="s">
        <v>258</v>
      </c>
      <c r="O150" s="51"/>
      <c r="P150" s="51"/>
      <c r="Q150" s="122"/>
    </row>
    <row r="151" spans="1:17" ht="25.5">
      <c r="A151" s="428">
        <v>33</v>
      </c>
      <c r="B151" s="429" t="s">
        <v>22</v>
      </c>
      <c r="C151" s="262">
        <v>2215</v>
      </c>
      <c r="D151" s="100"/>
      <c r="E151" s="100"/>
      <c r="F151" s="100"/>
      <c r="G151" s="281"/>
      <c r="H151" s="281">
        <v>581</v>
      </c>
      <c r="I151" s="281"/>
      <c r="J151" s="281"/>
      <c r="K151" s="283"/>
      <c r="L151" s="281"/>
      <c r="M151" s="285">
        <f t="shared" si="5"/>
        <v>581</v>
      </c>
      <c r="N151" s="256" t="s">
        <v>238</v>
      </c>
      <c r="O151" s="51"/>
      <c r="P151" s="51"/>
      <c r="Q151" s="122"/>
    </row>
    <row r="152" spans="1:17" ht="25.5">
      <c r="A152" s="418"/>
      <c r="B152" s="455"/>
      <c r="C152" s="262">
        <v>3112</v>
      </c>
      <c r="D152" s="100"/>
      <c r="E152" s="100"/>
      <c r="F152" s="100"/>
      <c r="G152" s="281"/>
      <c r="H152" s="281"/>
      <c r="I152" s="281"/>
      <c r="J152" s="281"/>
      <c r="K152" s="283"/>
      <c r="L152" s="281"/>
      <c r="M152" s="285">
        <v>300</v>
      </c>
      <c r="N152" s="264" t="s">
        <v>344</v>
      </c>
      <c r="O152" s="51"/>
      <c r="P152" s="51"/>
      <c r="Q152" s="122"/>
    </row>
    <row r="153" spans="1:17">
      <c r="A153" s="418"/>
      <c r="B153" s="455"/>
      <c r="C153" s="262">
        <v>3112</v>
      </c>
      <c r="D153" s="100"/>
      <c r="E153" s="100"/>
      <c r="F153" s="100"/>
      <c r="G153" s="281"/>
      <c r="H153" s="281"/>
      <c r="I153" s="281"/>
      <c r="J153" s="281"/>
      <c r="K153" s="283"/>
      <c r="L153" s="281"/>
      <c r="M153" s="285">
        <v>1800</v>
      </c>
      <c r="N153" s="264" t="s">
        <v>345</v>
      </c>
      <c r="O153" s="51"/>
      <c r="P153" s="51"/>
      <c r="Q153" s="122"/>
    </row>
    <row r="154" spans="1:17" ht="25.5">
      <c r="A154" s="428">
        <v>34</v>
      </c>
      <c r="B154" s="429" t="s">
        <v>146</v>
      </c>
      <c r="C154" s="6">
        <v>2215</v>
      </c>
      <c r="D154" s="100"/>
      <c r="E154" s="100"/>
      <c r="F154" s="100"/>
      <c r="G154" s="281"/>
      <c r="H154" s="281">
        <v>675.8</v>
      </c>
      <c r="I154" s="281"/>
      <c r="J154" s="281"/>
      <c r="K154" s="283"/>
      <c r="L154" s="281"/>
      <c r="M154" s="285">
        <f t="shared" si="5"/>
        <v>675.8</v>
      </c>
      <c r="N154" s="256" t="s">
        <v>238</v>
      </c>
      <c r="O154" s="51"/>
      <c r="P154" s="51"/>
      <c r="Q154" s="122"/>
    </row>
    <row r="155" spans="1:17" ht="25.5">
      <c r="A155" s="450"/>
      <c r="B155" s="430"/>
      <c r="C155" s="6">
        <v>2215</v>
      </c>
      <c r="D155" s="100"/>
      <c r="E155" s="100"/>
      <c r="F155" s="100"/>
      <c r="G155" s="281"/>
      <c r="H155" s="281"/>
      <c r="I155" s="281"/>
      <c r="J155" s="281"/>
      <c r="K155" s="283">
        <v>86.2</v>
      </c>
      <c r="L155" s="281"/>
      <c r="M155" s="285">
        <f t="shared" si="5"/>
        <v>86.2</v>
      </c>
      <c r="N155" s="256" t="s">
        <v>290</v>
      </c>
      <c r="O155" s="51"/>
      <c r="P155" s="51"/>
      <c r="Q155" s="122"/>
    </row>
    <row r="156" spans="1:17" ht="25.5">
      <c r="A156" s="257">
        <v>36</v>
      </c>
      <c r="B156" s="260" t="s">
        <v>272</v>
      </c>
      <c r="C156" s="6"/>
      <c r="D156" s="100">
        <v>40000</v>
      </c>
      <c r="E156" s="100"/>
      <c r="F156" s="100">
        <v>20000</v>
      </c>
      <c r="G156" s="282">
        <f>+D156+E156+F156</f>
        <v>60000</v>
      </c>
      <c r="H156" s="281"/>
      <c r="I156" s="281"/>
      <c r="J156" s="281"/>
      <c r="K156" s="281"/>
      <c r="L156" s="281"/>
      <c r="M156" s="285"/>
      <c r="N156" s="256" t="s">
        <v>250</v>
      </c>
      <c r="Q156" s="122"/>
    </row>
    <row r="157" spans="1:17">
      <c r="A157" s="253"/>
      <c r="B157" s="254"/>
      <c r="C157" s="6"/>
      <c r="D157" s="100"/>
      <c r="E157" s="100"/>
      <c r="F157" s="100"/>
      <c r="G157" s="281"/>
      <c r="H157" s="281"/>
      <c r="I157" s="281"/>
      <c r="J157" s="281"/>
      <c r="K157" s="283"/>
      <c r="L157" s="281"/>
      <c r="M157" s="283"/>
      <c r="N157" s="256"/>
      <c r="O157" s="51"/>
      <c r="P157" s="51"/>
    </row>
    <row r="158" spans="1:17">
      <c r="A158" s="253"/>
      <c r="B158" s="254"/>
      <c r="C158" s="6"/>
      <c r="D158" s="113">
        <f>SUM(D10:D157)</f>
        <v>51031.1</v>
      </c>
      <c r="E158" s="113">
        <f t="shared" ref="E158:M158" si="6">SUM(E10:E157)</f>
        <v>3201.5</v>
      </c>
      <c r="F158" s="113">
        <f t="shared" si="6"/>
        <v>20000</v>
      </c>
      <c r="G158" s="288">
        <f t="shared" si="6"/>
        <v>74232.600000000006</v>
      </c>
      <c r="H158" s="288">
        <f t="shared" si="6"/>
        <v>51031.1</v>
      </c>
      <c r="I158" s="288">
        <f t="shared" si="6"/>
        <v>194.6</v>
      </c>
      <c r="J158" s="288">
        <f t="shared" si="6"/>
        <v>0</v>
      </c>
      <c r="K158" s="288">
        <f t="shared" si="6"/>
        <v>16006.900000000001</v>
      </c>
      <c r="L158" s="288">
        <f t="shared" si="6"/>
        <v>0</v>
      </c>
      <c r="M158" s="288">
        <f t="shared" si="6"/>
        <v>74232.599999999977</v>
      </c>
      <c r="N158" s="256"/>
      <c r="O158" s="51"/>
      <c r="P158" s="51"/>
    </row>
    <row r="159" spans="1:17">
      <c r="A159" s="53"/>
      <c r="B159" s="265"/>
      <c r="C159" s="34"/>
      <c r="D159" s="266"/>
      <c r="E159" s="266"/>
      <c r="F159" s="266"/>
      <c r="G159" s="289"/>
      <c r="H159" s="289"/>
      <c r="I159" s="289"/>
      <c r="J159" s="289"/>
      <c r="K159" s="290"/>
      <c r="L159" s="289"/>
      <c r="M159" s="290"/>
      <c r="N159" s="38"/>
      <c r="O159" s="51"/>
      <c r="P159" s="51"/>
    </row>
    <row r="160" spans="1:17">
      <c r="A160" s="53"/>
      <c r="B160" s="265"/>
      <c r="C160" s="34"/>
      <c r="D160" s="266"/>
      <c r="E160" s="266"/>
      <c r="F160" s="266"/>
      <c r="G160" s="289"/>
      <c r="H160" s="289"/>
      <c r="I160" s="289"/>
      <c r="J160" s="289"/>
      <c r="K160" s="290"/>
      <c r="L160" s="289"/>
      <c r="M160" s="290"/>
      <c r="N160" s="38"/>
      <c r="O160" s="51"/>
      <c r="P160" s="51"/>
    </row>
    <row r="161" spans="1:17">
      <c r="B161" s="2" t="s">
        <v>111</v>
      </c>
      <c r="C161" s="36"/>
    </row>
    <row r="166" spans="1:17">
      <c r="A166" s="53"/>
      <c r="B166" s="42"/>
      <c r="C166" s="34"/>
      <c r="D166" s="43"/>
      <c r="E166" s="43"/>
      <c r="F166" s="43"/>
      <c r="G166" s="291"/>
      <c r="Q166" s="48"/>
    </row>
    <row r="167" spans="1:17">
      <c r="Q167" s="48"/>
    </row>
    <row r="168" spans="1:17">
      <c r="B168" s="46"/>
      <c r="Q168" s="48"/>
    </row>
    <row r="169" spans="1:17">
      <c r="Q169" s="48"/>
    </row>
    <row r="170" spans="1:17">
      <c r="A170" s="34"/>
      <c r="B170" s="53"/>
      <c r="C170" s="53"/>
      <c r="D170" s="45"/>
      <c r="E170" s="45"/>
      <c r="F170" s="45"/>
      <c r="G170" s="292"/>
      <c r="Q170" s="48"/>
    </row>
    <row r="171" spans="1:17">
      <c r="A171" s="258"/>
      <c r="B171" s="258"/>
      <c r="C171" s="258"/>
      <c r="D171" s="258"/>
      <c r="E171" s="258"/>
      <c r="F171" s="258"/>
      <c r="G171" s="293"/>
      <c r="Q171" s="48"/>
    </row>
    <row r="172" spans="1:17">
      <c r="A172" s="49"/>
      <c r="B172" s="49"/>
      <c r="C172" s="49"/>
      <c r="D172" s="49"/>
      <c r="E172" s="49"/>
      <c r="F172" s="49"/>
      <c r="G172" s="294"/>
      <c r="H172" s="294"/>
      <c r="I172" s="294"/>
      <c r="J172" s="294"/>
      <c r="K172" s="294"/>
      <c r="L172" s="294"/>
      <c r="M172" s="294"/>
      <c r="N172" s="49"/>
      <c r="P172" s="51"/>
    </row>
    <row r="173" spans="1:17">
      <c r="A173" s="49"/>
      <c r="B173" s="49"/>
      <c r="C173" s="49"/>
      <c r="D173" s="49"/>
      <c r="E173" s="49"/>
      <c r="F173" s="49"/>
      <c r="G173" s="294"/>
      <c r="H173" s="294"/>
      <c r="I173" s="294"/>
      <c r="J173" s="294"/>
      <c r="K173" s="294"/>
      <c r="L173" s="294"/>
      <c r="M173" s="294"/>
      <c r="N173" s="49"/>
    </row>
    <row r="174" spans="1:17">
      <c r="A174" s="49"/>
      <c r="B174" s="49"/>
      <c r="C174" s="49"/>
      <c r="D174" s="49"/>
      <c r="E174" s="49"/>
      <c r="F174" s="49"/>
      <c r="G174" s="294"/>
      <c r="H174" s="294"/>
      <c r="I174" s="294"/>
      <c r="J174" s="294"/>
      <c r="K174" s="294"/>
      <c r="L174" s="294"/>
      <c r="M174" s="294"/>
      <c r="N174" s="49"/>
    </row>
    <row r="175" spans="1:17">
      <c r="A175" s="49"/>
      <c r="B175" s="49"/>
      <c r="C175" s="49"/>
      <c r="D175" s="49"/>
      <c r="E175" s="49"/>
      <c r="F175" s="49"/>
      <c r="G175" s="294"/>
      <c r="H175" s="294"/>
      <c r="I175" s="294"/>
      <c r="J175" s="294"/>
      <c r="K175" s="294"/>
      <c r="L175" s="294"/>
      <c r="M175" s="294"/>
      <c r="N175" s="49"/>
    </row>
    <row r="176" spans="1:17">
      <c r="A176" s="49"/>
      <c r="B176" s="49"/>
      <c r="C176" s="49"/>
      <c r="D176" s="49"/>
      <c r="E176" s="49"/>
      <c r="F176" s="49"/>
      <c r="G176" s="294"/>
      <c r="H176" s="294"/>
      <c r="I176" s="294"/>
      <c r="J176" s="294"/>
      <c r="K176" s="294"/>
      <c r="L176" s="294"/>
      <c r="M176" s="294"/>
      <c r="N176" s="49"/>
    </row>
    <row r="177" spans="1:14" s="48" customFormat="1">
      <c r="A177" s="49"/>
      <c r="B177" s="49"/>
      <c r="C177" s="49"/>
      <c r="D177" s="49"/>
      <c r="E177" s="49"/>
      <c r="F177" s="49"/>
      <c r="G177" s="294"/>
      <c r="H177" s="294"/>
      <c r="I177" s="294"/>
      <c r="J177" s="294"/>
      <c r="K177" s="294"/>
      <c r="L177" s="294"/>
      <c r="M177" s="294"/>
      <c r="N177" s="49"/>
    </row>
    <row r="178" spans="1:14" s="48" customFormat="1">
      <c r="A178" s="49"/>
      <c r="B178" s="49"/>
      <c r="C178" s="49"/>
      <c r="D178" s="49"/>
      <c r="E178" s="49"/>
      <c r="F178" s="49"/>
      <c r="G178" s="294"/>
      <c r="H178" s="294"/>
      <c r="I178" s="294"/>
      <c r="J178" s="294"/>
      <c r="K178" s="294"/>
      <c r="L178" s="294"/>
      <c r="M178" s="294"/>
      <c r="N178" s="49"/>
    </row>
    <row r="179" spans="1:14" s="48" customFormat="1">
      <c r="A179" s="49"/>
      <c r="B179" s="49"/>
      <c r="C179" s="49"/>
      <c r="D179" s="49"/>
      <c r="E179" s="49"/>
      <c r="F179" s="49"/>
      <c r="G179" s="294"/>
      <c r="H179" s="294"/>
      <c r="I179" s="294"/>
      <c r="J179" s="294"/>
      <c r="K179" s="294"/>
      <c r="L179" s="294"/>
      <c r="M179" s="294"/>
      <c r="N179" s="49"/>
    </row>
    <row r="180" spans="1:14" s="48" customFormat="1">
      <c r="A180" s="49"/>
      <c r="B180" s="49"/>
      <c r="C180" s="49"/>
      <c r="D180" s="49"/>
      <c r="E180" s="49"/>
      <c r="F180" s="49"/>
      <c r="G180" s="294"/>
      <c r="H180" s="294"/>
      <c r="I180" s="294"/>
      <c r="J180" s="294"/>
      <c r="K180" s="294"/>
      <c r="L180" s="294"/>
      <c r="M180" s="294"/>
      <c r="N180" s="49"/>
    </row>
    <row r="181" spans="1:14" s="48" customFormat="1">
      <c r="A181" s="49"/>
      <c r="B181" s="49"/>
      <c r="C181" s="49"/>
      <c r="D181" s="49"/>
      <c r="E181" s="49"/>
      <c r="F181" s="49"/>
      <c r="G181" s="294"/>
      <c r="H181" s="294"/>
      <c r="I181" s="294"/>
      <c r="J181" s="294"/>
      <c r="K181" s="294"/>
      <c r="L181" s="294"/>
      <c r="M181" s="294"/>
      <c r="N181" s="49"/>
    </row>
    <row r="182" spans="1:14" s="48" customFormat="1">
      <c r="A182" s="49"/>
      <c r="B182" s="49"/>
      <c r="C182" s="49"/>
      <c r="D182" s="49"/>
      <c r="E182" s="49"/>
      <c r="F182" s="49"/>
      <c r="G182" s="294"/>
      <c r="H182" s="294"/>
      <c r="I182" s="294"/>
      <c r="J182" s="294"/>
      <c r="K182" s="294"/>
      <c r="L182" s="294"/>
      <c r="M182" s="294"/>
      <c r="N182" s="49"/>
    </row>
    <row r="183" spans="1:14" s="48" customFormat="1">
      <c r="A183" s="49"/>
      <c r="B183" s="49"/>
      <c r="C183" s="49"/>
      <c r="D183" s="49"/>
      <c r="E183" s="49"/>
      <c r="F183" s="49"/>
      <c r="G183" s="294"/>
      <c r="H183" s="294"/>
      <c r="I183" s="294"/>
      <c r="J183" s="294"/>
      <c r="K183" s="294"/>
      <c r="L183" s="294"/>
      <c r="M183" s="294"/>
      <c r="N183" s="49"/>
    </row>
    <row r="184" spans="1:14" s="48" customFormat="1">
      <c r="A184" s="49"/>
      <c r="B184" s="49"/>
      <c r="C184" s="49"/>
      <c r="D184" s="49"/>
      <c r="E184" s="49"/>
      <c r="F184" s="49"/>
      <c r="G184" s="294"/>
      <c r="H184" s="294"/>
      <c r="I184" s="294"/>
      <c r="J184" s="294"/>
      <c r="K184" s="294"/>
      <c r="L184" s="294"/>
      <c r="M184" s="294"/>
      <c r="N184" s="49"/>
    </row>
    <row r="185" spans="1:14" s="48" customFormat="1">
      <c r="A185" s="49"/>
      <c r="B185" s="49"/>
      <c r="C185" s="49"/>
      <c r="D185" s="49"/>
      <c r="E185" s="49"/>
      <c r="F185" s="49"/>
      <c r="G185" s="294"/>
      <c r="H185" s="294"/>
      <c r="I185" s="294"/>
      <c r="J185" s="294"/>
      <c r="K185" s="294"/>
      <c r="L185" s="294"/>
      <c r="M185" s="294"/>
      <c r="N185" s="49"/>
    </row>
    <row r="186" spans="1:14" s="48" customFormat="1">
      <c r="A186" s="49"/>
      <c r="B186" s="49"/>
      <c r="C186" s="49"/>
      <c r="D186" s="49"/>
      <c r="E186" s="49"/>
      <c r="F186" s="49"/>
      <c r="G186" s="294"/>
      <c r="H186" s="294"/>
      <c r="I186" s="294"/>
      <c r="J186" s="294"/>
      <c r="K186" s="294"/>
      <c r="L186" s="294"/>
      <c r="M186" s="294"/>
      <c r="N186" s="49"/>
    </row>
    <row r="187" spans="1:14" s="48" customFormat="1">
      <c r="A187" s="49"/>
      <c r="B187" s="49"/>
      <c r="C187" s="49"/>
      <c r="D187" s="49"/>
      <c r="E187" s="49"/>
      <c r="F187" s="49"/>
      <c r="G187" s="294"/>
      <c r="H187" s="294"/>
      <c r="I187" s="294"/>
      <c r="J187" s="294"/>
      <c r="K187" s="294"/>
      <c r="L187" s="294"/>
      <c r="M187" s="294"/>
      <c r="N187" s="49"/>
    </row>
    <row r="188" spans="1:14" s="48" customFormat="1">
      <c r="A188" s="49"/>
      <c r="B188" s="49"/>
      <c r="C188" s="49"/>
      <c r="D188" s="49"/>
      <c r="E188" s="49"/>
      <c r="F188" s="49"/>
      <c r="G188" s="294"/>
      <c r="H188" s="294"/>
      <c r="I188" s="294"/>
      <c r="J188" s="294"/>
      <c r="K188" s="294"/>
      <c r="L188" s="294"/>
      <c r="M188" s="294"/>
      <c r="N188" s="49"/>
    </row>
    <row r="189" spans="1:14" s="48" customFormat="1">
      <c r="A189" s="49"/>
      <c r="B189" s="49"/>
      <c r="C189" s="49"/>
      <c r="D189" s="49"/>
      <c r="E189" s="49"/>
      <c r="F189" s="49"/>
      <c r="G189" s="294"/>
      <c r="H189" s="294"/>
      <c r="I189" s="294"/>
      <c r="J189" s="294"/>
      <c r="K189" s="294"/>
      <c r="L189" s="294"/>
      <c r="M189" s="294"/>
      <c r="N189" s="49"/>
    </row>
    <row r="190" spans="1:14" s="48" customFormat="1">
      <c r="A190" s="49"/>
      <c r="B190" s="49"/>
      <c r="C190" s="49"/>
      <c r="D190" s="49"/>
      <c r="E190" s="49"/>
      <c r="F190" s="49"/>
      <c r="G190" s="294"/>
      <c r="H190" s="294"/>
      <c r="I190" s="294"/>
      <c r="J190" s="294"/>
      <c r="K190" s="294"/>
      <c r="L190" s="294"/>
      <c r="M190" s="294"/>
      <c r="N190" s="49"/>
    </row>
    <row r="191" spans="1:14" s="48" customFormat="1">
      <c r="A191" s="49"/>
      <c r="B191" s="49"/>
      <c r="C191" s="49"/>
      <c r="D191" s="49"/>
      <c r="E191" s="49"/>
      <c r="F191" s="49"/>
      <c r="G191" s="294"/>
      <c r="H191" s="294"/>
      <c r="I191" s="294"/>
      <c r="J191" s="294"/>
      <c r="K191" s="294"/>
      <c r="L191" s="294"/>
      <c r="M191" s="294"/>
      <c r="N191" s="49"/>
    </row>
    <row r="192" spans="1:14" s="48" customFormat="1">
      <c r="A192" s="49"/>
      <c r="B192" s="49"/>
      <c r="C192" s="49"/>
      <c r="D192" s="49"/>
      <c r="E192" s="49"/>
      <c r="F192" s="49"/>
      <c r="G192" s="294"/>
      <c r="H192" s="294"/>
      <c r="I192" s="294"/>
      <c r="J192" s="294"/>
      <c r="K192" s="294"/>
      <c r="L192" s="294"/>
      <c r="M192" s="294"/>
      <c r="N192" s="49"/>
    </row>
    <row r="193" spans="1:14" s="48" customFormat="1">
      <c r="A193" s="49"/>
      <c r="B193" s="49"/>
      <c r="C193" s="49"/>
      <c r="D193" s="49"/>
      <c r="E193" s="49"/>
      <c r="F193" s="49"/>
      <c r="G193" s="294"/>
      <c r="H193" s="294"/>
      <c r="I193" s="294"/>
      <c r="J193" s="294"/>
      <c r="K193" s="294"/>
      <c r="L193" s="294"/>
      <c r="M193" s="294"/>
      <c r="N193" s="49"/>
    </row>
    <row r="194" spans="1:14" s="48" customFormat="1">
      <c r="A194" s="49"/>
      <c r="B194" s="49"/>
      <c r="C194" s="49"/>
      <c r="D194" s="49"/>
      <c r="E194" s="49"/>
      <c r="F194" s="49"/>
      <c r="G194" s="294"/>
      <c r="H194" s="294"/>
      <c r="I194" s="294"/>
      <c r="J194" s="294"/>
      <c r="K194" s="294"/>
      <c r="L194" s="294"/>
      <c r="M194" s="294"/>
      <c r="N194" s="49"/>
    </row>
    <row r="195" spans="1:14" s="48" customFormat="1">
      <c r="A195" s="49"/>
      <c r="B195" s="49"/>
      <c r="C195" s="49"/>
      <c r="D195" s="49"/>
      <c r="E195" s="49"/>
      <c r="F195" s="49"/>
      <c r="G195" s="294"/>
      <c r="H195" s="294"/>
      <c r="I195" s="294"/>
      <c r="J195" s="294"/>
      <c r="K195" s="294"/>
      <c r="L195" s="294"/>
      <c r="M195" s="294"/>
      <c r="N195" s="49"/>
    </row>
    <row r="196" spans="1:14" s="48" customFormat="1">
      <c r="A196" s="49"/>
      <c r="B196" s="49"/>
      <c r="C196" s="49"/>
      <c r="D196" s="49"/>
      <c r="E196" s="49"/>
      <c r="F196" s="49"/>
      <c r="G196" s="294"/>
      <c r="H196" s="294"/>
      <c r="I196" s="294"/>
      <c r="J196" s="294"/>
      <c r="K196" s="294"/>
      <c r="L196" s="294"/>
      <c r="M196" s="294"/>
      <c r="N196" s="49"/>
    </row>
    <row r="197" spans="1:14" s="48" customFormat="1">
      <c r="A197" s="49"/>
      <c r="B197" s="49"/>
      <c r="C197" s="49"/>
      <c r="D197" s="49"/>
      <c r="E197" s="49"/>
      <c r="F197" s="49"/>
      <c r="G197" s="294"/>
      <c r="H197" s="294"/>
      <c r="I197" s="294"/>
      <c r="J197" s="294"/>
      <c r="K197" s="294"/>
      <c r="L197" s="294"/>
      <c r="M197" s="294"/>
      <c r="N197" s="49"/>
    </row>
    <row r="198" spans="1:14" s="48" customFormat="1">
      <c r="A198" s="49"/>
      <c r="B198" s="49"/>
      <c r="C198" s="49"/>
      <c r="D198" s="49"/>
      <c r="E198" s="49"/>
      <c r="F198" s="49"/>
      <c r="G198" s="294"/>
      <c r="H198" s="294"/>
      <c r="I198" s="294"/>
      <c r="J198" s="294"/>
      <c r="K198" s="294"/>
      <c r="L198" s="294"/>
      <c r="M198" s="294"/>
      <c r="N198" s="49"/>
    </row>
    <row r="199" spans="1:14" s="48" customFormat="1">
      <c r="A199" s="49"/>
      <c r="B199" s="49"/>
      <c r="C199" s="49"/>
      <c r="D199" s="49"/>
      <c r="E199" s="49"/>
      <c r="F199" s="49"/>
      <c r="G199" s="294"/>
      <c r="H199" s="294"/>
      <c r="I199" s="294"/>
      <c r="J199" s="294"/>
      <c r="K199" s="294"/>
      <c r="L199" s="294"/>
      <c r="M199" s="294"/>
      <c r="N199" s="49"/>
    </row>
    <row r="200" spans="1:14" s="48" customFormat="1">
      <c r="A200" s="49"/>
      <c r="B200" s="49"/>
      <c r="C200" s="49"/>
      <c r="D200" s="49"/>
      <c r="E200" s="49"/>
      <c r="F200" s="49"/>
      <c r="G200" s="294"/>
      <c r="H200" s="294"/>
      <c r="I200" s="294"/>
      <c r="J200" s="294"/>
      <c r="K200" s="294"/>
      <c r="L200" s="294"/>
      <c r="M200" s="294"/>
      <c r="N200" s="49"/>
    </row>
    <row r="201" spans="1:14" s="48" customFormat="1">
      <c r="A201" s="49"/>
      <c r="B201" s="49"/>
      <c r="C201" s="49"/>
      <c r="D201" s="49"/>
      <c r="E201" s="49"/>
      <c r="F201" s="49"/>
      <c r="G201" s="294"/>
      <c r="H201" s="294"/>
      <c r="I201" s="294"/>
      <c r="J201" s="294"/>
      <c r="K201" s="294"/>
      <c r="L201" s="294"/>
      <c r="M201" s="294"/>
      <c r="N201" s="49"/>
    </row>
    <row r="202" spans="1:14" s="48" customFormat="1">
      <c r="A202" s="49"/>
      <c r="B202" s="49"/>
      <c r="C202" s="49"/>
      <c r="D202" s="49"/>
      <c r="E202" s="49"/>
      <c r="F202" s="49"/>
      <c r="G202" s="294"/>
      <c r="H202" s="294"/>
      <c r="I202" s="294"/>
      <c r="J202" s="294"/>
      <c r="K202" s="294"/>
      <c r="L202" s="294"/>
      <c r="M202" s="294"/>
      <c r="N202" s="49"/>
    </row>
    <row r="203" spans="1:14" s="48" customFormat="1">
      <c r="A203" s="49"/>
      <c r="B203" s="49"/>
      <c r="C203" s="49"/>
      <c r="D203" s="49"/>
      <c r="E203" s="49"/>
      <c r="F203" s="49"/>
      <c r="G203" s="294"/>
      <c r="H203" s="294"/>
      <c r="I203" s="294"/>
      <c r="J203" s="294"/>
      <c r="K203" s="294"/>
      <c r="L203" s="294"/>
      <c r="M203" s="294"/>
      <c r="N203" s="49"/>
    </row>
    <row r="204" spans="1:14" s="48" customFormat="1">
      <c r="A204" s="49"/>
      <c r="B204" s="49"/>
      <c r="C204" s="49"/>
      <c r="D204" s="49"/>
      <c r="E204" s="49"/>
      <c r="F204" s="49"/>
      <c r="G204" s="294"/>
      <c r="H204" s="294"/>
      <c r="I204" s="294"/>
      <c r="J204" s="294"/>
      <c r="K204" s="294"/>
      <c r="L204" s="294"/>
      <c r="M204" s="294"/>
      <c r="N204" s="49"/>
    </row>
    <row r="205" spans="1:14" s="48" customFormat="1">
      <c r="A205" s="49"/>
      <c r="B205" s="49"/>
      <c r="C205" s="49"/>
      <c r="D205" s="49"/>
      <c r="E205" s="49"/>
      <c r="F205" s="49"/>
      <c r="G205" s="294"/>
      <c r="H205" s="294"/>
      <c r="I205" s="294"/>
      <c r="J205" s="294"/>
      <c r="K205" s="294"/>
      <c r="L205" s="294"/>
      <c r="M205" s="294"/>
      <c r="N205" s="49"/>
    </row>
    <row r="206" spans="1:14" s="48" customFormat="1">
      <c r="A206" s="49"/>
      <c r="B206" s="49"/>
      <c r="C206" s="49"/>
      <c r="D206" s="49"/>
      <c r="E206" s="49"/>
      <c r="F206" s="49"/>
      <c r="G206" s="294"/>
      <c r="H206" s="294"/>
      <c r="I206" s="294"/>
      <c r="J206" s="294"/>
      <c r="K206" s="294"/>
      <c r="L206" s="294"/>
      <c r="M206" s="294"/>
      <c r="N206" s="49"/>
    </row>
    <row r="207" spans="1:14" s="48" customFormat="1">
      <c r="A207" s="49"/>
      <c r="B207" s="49"/>
      <c r="C207" s="49"/>
      <c r="D207" s="49"/>
      <c r="E207" s="49"/>
      <c r="F207" s="49"/>
      <c r="G207" s="294"/>
      <c r="H207" s="294"/>
      <c r="I207" s="294"/>
      <c r="J207" s="294"/>
      <c r="K207" s="294"/>
      <c r="L207" s="294"/>
      <c r="M207" s="294"/>
      <c r="N207" s="49"/>
    </row>
    <row r="208" spans="1:14" s="48" customFormat="1">
      <c r="A208" s="49"/>
      <c r="B208" s="49"/>
      <c r="C208" s="49"/>
      <c r="D208" s="49"/>
      <c r="E208" s="49"/>
      <c r="F208" s="49"/>
      <c r="G208" s="294"/>
      <c r="H208" s="294"/>
      <c r="I208" s="294"/>
      <c r="J208" s="294"/>
      <c r="K208" s="294"/>
      <c r="L208" s="294"/>
      <c r="M208" s="294"/>
      <c r="N208" s="49"/>
    </row>
    <row r="209" spans="1:14" s="48" customFormat="1">
      <c r="A209" s="49"/>
      <c r="B209" s="49"/>
      <c r="C209" s="49"/>
      <c r="D209" s="49"/>
      <c r="E209" s="49"/>
      <c r="F209" s="49"/>
      <c r="G209" s="294"/>
      <c r="H209" s="294"/>
      <c r="I209" s="294"/>
      <c r="J209" s="294"/>
      <c r="K209" s="294"/>
      <c r="L209" s="294"/>
      <c r="M209" s="294"/>
      <c r="N209" s="49"/>
    </row>
    <row r="210" spans="1:14" s="48" customFormat="1">
      <c r="A210" s="49"/>
      <c r="B210" s="49"/>
      <c r="C210" s="49"/>
      <c r="D210" s="49"/>
      <c r="E210" s="49"/>
      <c r="F210" s="49"/>
      <c r="G210" s="294"/>
      <c r="H210" s="294"/>
      <c r="I210" s="294"/>
      <c r="J210" s="294"/>
      <c r="K210" s="294"/>
      <c r="L210" s="294"/>
      <c r="M210" s="294"/>
      <c r="N210" s="49"/>
    </row>
    <row r="211" spans="1:14" s="48" customFormat="1">
      <c r="A211" s="49"/>
      <c r="B211" s="49"/>
      <c r="C211" s="49"/>
      <c r="D211" s="49"/>
      <c r="E211" s="49"/>
      <c r="F211" s="49"/>
      <c r="G211" s="294"/>
      <c r="H211" s="294"/>
      <c r="I211" s="294"/>
      <c r="J211" s="294"/>
      <c r="K211" s="294"/>
      <c r="L211" s="294"/>
      <c r="M211" s="294"/>
      <c r="N211" s="49"/>
    </row>
    <row r="212" spans="1:14" s="48" customFormat="1">
      <c r="A212" s="49"/>
      <c r="B212" s="49"/>
      <c r="C212" s="49"/>
      <c r="D212" s="49"/>
      <c r="E212" s="49"/>
      <c r="F212" s="49"/>
      <c r="G212" s="294"/>
      <c r="H212" s="294"/>
      <c r="I212" s="294"/>
      <c r="J212" s="294"/>
      <c r="K212" s="294"/>
      <c r="L212" s="294"/>
      <c r="M212" s="294"/>
      <c r="N212" s="49"/>
    </row>
    <row r="213" spans="1:14" s="48" customFormat="1">
      <c r="A213" s="49"/>
      <c r="B213" s="49"/>
      <c r="C213" s="49"/>
      <c r="D213" s="49"/>
      <c r="E213" s="49"/>
      <c r="F213" s="49"/>
      <c r="G213" s="294"/>
      <c r="H213" s="294"/>
      <c r="I213" s="294"/>
      <c r="J213" s="294"/>
      <c r="K213" s="294"/>
      <c r="L213" s="294"/>
      <c r="M213" s="294"/>
      <c r="N213" s="49"/>
    </row>
    <row r="214" spans="1:14" s="48" customFormat="1">
      <c r="A214" s="49"/>
      <c r="B214" s="49"/>
      <c r="C214" s="49"/>
      <c r="D214" s="49"/>
      <c r="E214" s="49"/>
      <c r="F214" s="49"/>
      <c r="G214" s="294"/>
      <c r="H214" s="294"/>
      <c r="I214" s="294"/>
      <c r="J214" s="294"/>
      <c r="K214" s="294"/>
      <c r="L214" s="294"/>
      <c r="M214" s="294"/>
      <c r="N214" s="49"/>
    </row>
    <row r="215" spans="1:14" s="48" customFormat="1">
      <c r="A215" s="49"/>
      <c r="B215" s="49"/>
      <c r="C215" s="49"/>
      <c r="D215" s="49"/>
      <c r="E215" s="49"/>
      <c r="F215" s="49"/>
      <c r="G215" s="294"/>
      <c r="H215" s="294"/>
      <c r="I215" s="294"/>
      <c r="J215" s="294"/>
      <c r="K215" s="294"/>
      <c r="L215" s="294"/>
      <c r="M215" s="294"/>
      <c r="N215" s="49"/>
    </row>
    <row r="216" spans="1:14" s="48" customFormat="1">
      <c r="A216" s="49"/>
      <c r="B216" s="49"/>
      <c r="C216" s="49"/>
      <c r="D216" s="49"/>
      <c r="E216" s="49"/>
      <c r="F216" s="49"/>
      <c r="G216" s="294"/>
      <c r="H216" s="294"/>
      <c r="I216" s="294"/>
      <c r="J216" s="294"/>
      <c r="K216" s="294"/>
      <c r="L216" s="294"/>
      <c r="M216" s="294"/>
      <c r="N216" s="49"/>
    </row>
    <row r="217" spans="1:14" s="48" customFormat="1">
      <c r="A217" s="49"/>
      <c r="B217" s="49"/>
      <c r="C217" s="49"/>
      <c r="D217" s="49"/>
      <c r="E217" s="49"/>
      <c r="F217" s="49"/>
      <c r="G217" s="294"/>
      <c r="H217" s="294"/>
      <c r="I217" s="294"/>
      <c r="J217" s="294"/>
      <c r="K217" s="294"/>
      <c r="L217" s="294"/>
      <c r="M217" s="294"/>
      <c r="N217" s="49"/>
    </row>
    <row r="218" spans="1:14" s="48" customFormat="1">
      <c r="A218" s="49"/>
      <c r="B218" s="49"/>
      <c r="C218" s="49"/>
      <c r="D218" s="49"/>
      <c r="E218" s="49"/>
      <c r="F218" s="49"/>
      <c r="G218" s="294"/>
      <c r="H218" s="294"/>
      <c r="I218" s="294"/>
      <c r="J218" s="294"/>
      <c r="K218" s="294"/>
      <c r="L218" s="294"/>
      <c r="M218" s="294"/>
      <c r="N218" s="49"/>
    </row>
    <row r="219" spans="1:14" s="48" customFormat="1">
      <c r="A219" s="49"/>
      <c r="B219" s="49"/>
      <c r="C219" s="49"/>
      <c r="D219" s="49"/>
      <c r="E219" s="49"/>
      <c r="F219" s="49"/>
      <c r="G219" s="294"/>
      <c r="H219" s="294"/>
      <c r="I219" s="294"/>
      <c r="J219" s="294"/>
      <c r="K219" s="294"/>
      <c r="L219" s="294"/>
      <c r="M219" s="294"/>
      <c r="N219" s="49"/>
    </row>
    <row r="220" spans="1:14" s="48" customFormat="1">
      <c r="A220" s="49"/>
      <c r="B220" s="49"/>
      <c r="C220" s="49"/>
      <c r="D220" s="49"/>
      <c r="E220" s="49"/>
      <c r="F220" s="49"/>
      <c r="G220" s="294"/>
      <c r="H220" s="294"/>
      <c r="I220" s="294"/>
      <c r="J220" s="294"/>
      <c r="K220" s="294"/>
      <c r="L220" s="294"/>
      <c r="M220" s="294"/>
      <c r="N220" s="49"/>
    </row>
    <row r="221" spans="1:14" s="48" customFormat="1">
      <c r="A221" s="49"/>
      <c r="B221" s="49"/>
      <c r="C221" s="49"/>
      <c r="D221" s="49"/>
      <c r="E221" s="49"/>
      <c r="F221" s="49"/>
      <c r="G221" s="294"/>
      <c r="H221" s="294"/>
      <c r="I221" s="294"/>
      <c r="J221" s="294"/>
      <c r="K221" s="294"/>
      <c r="L221" s="294"/>
      <c r="M221" s="294"/>
      <c r="N221" s="49"/>
    </row>
    <row r="222" spans="1:14" s="48" customFormat="1">
      <c r="A222" s="49"/>
      <c r="B222" s="49"/>
      <c r="C222" s="49"/>
      <c r="D222" s="49"/>
      <c r="E222" s="49"/>
      <c r="F222" s="49"/>
      <c r="G222" s="294"/>
      <c r="H222" s="294"/>
      <c r="I222" s="294"/>
      <c r="J222" s="294"/>
      <c r="K222" s="294"/>
      <c r="L222" s="294"/>
      <c r="M222" s="294"/>
      <c r="N222" s="49"/>
    </row>
    <row r="223" spans="1:14" s="48" customFormat="1">
      <c r="A223" s="49"/>
      <c r="B223" s="49"/>
      <c r="C223" s="49"/>
      <c r="D223" s="49"/>
      <c r="E223" s="49"/>
      <c r="F223" s="49"/>
      <c r="G223" s="294"/>
      <c r="H223" s="294"/>
      <c r="I223" s="294"/>
      <c r="J223" s="294"/>
      <c r="K223" s="294"/>
      <c r="L223" s="294"/>
      <c r="M223" s="294"/>
      <c r="N223" s="49"/>
    </row>
    <row r="224" spans="1:14" s="48" customFormat="1">
      <c r="A224" s="49"/>
      <c r="B224" s="49"/>
      <c r="C224" s="49"/>
      <c r="D224" s="49"/>
      <c r="E224" s="49"/>
      <c r="F224" s="49"/>
      <c r="G224" s="294"/>
      <c r="H224" s="294"/>
      <c r="I224" s="294"/>
      <c r="J224" s="294"/>
      <c r="K224" s="294"/>
      <c r="L224" s="294"/>
      <c r="M224" s="294"/>
      <c r="N224" s="49"/>
    </row>
    <row r="225" spans="1:14" s="48" customFormat="1">
      <c r="A225" s="49"/>
      <c r="B225" s="49"/>
      <c r="C225" s="49"/>
      <c r="D225" s="49"/>
      <c r="E225" s="49"/>
      <c r="F225" s="49"/>
      <c r="G225" s="294"/>
      <c r="H225" s="294"/>
      <c r="I225" s="294"/>
      <c r="J225" s="294"/>
      <c r="K225" s="294"/>
      <c r="L225" s="294"/>
      <c r="M225" s="294"/>
      <c r="N225" s="49"/>
    </row>
    <row r="226" spans="1:14" s="48" customFormat="1">
      <c r="A226" s="49"/>
      <c r="B226" s="49"/>
      <c r="C226" s="49"/>
      <c r="D226" s="49"/>
      <c r="E226" s="49"/>
      <c r="F226" s="49"/>
      <c r="G226" s="294"/>
      <c r="H226" s="294"/>
      <c r="I226" s="294"/>
      <c r="J226" s="294"/>
      <c r="K226" s="294"/>
      <c r="L226" s="294"/>
      <c r="M226" s="294"/>
      <c r="N226" s="49"/>
    </row>
    <row r="227" spans="1:14" s="48" customFormat="1">
      <c r="A227" s="49"/>
      <c r="B227" s="49"/>
      <c r="C227" s="49"/>
      <c r="D227" s="49"/>
      <c r="E227" s="49"/>
      <c r="F227" s="49"/>
      <c r="G227" s="294"/>
      <c r="H227" s="294"/>
      <c r="I227" s="294"/>
      <c r="J227" s="294"/>
      <c r="K227" s="294"/>
      <c r="L227" s="294"/>
      <c r="M227" s="294"/>
      <c r="N227" s="49"/>
    </row>
    <row r="228" spans="1:14" s="48" customFormat="1">
      <c r="A228" s="49"/>
      <c r="B228" s="49"/>
      <c r="C228" s="49"/>
      <c r="D228" s="49"/>
      <c r="E228" s="49"/>
      <c r="F228" s="49"/>
      <c r="G228" s="294"/>
      <c r="H228" s="294"/>
      <c r="I228" s="294"/>
      <c r="J228" s="294"/>
      <c r="K228" s="294"/>
      <c r="L228" s="294"/>
      <c r="M228" s="294"/>
      <c r="N228" s="49"/>
    </row>
    <row r="229" spans="1:14" s="48" customFormat="1">
      <c r="A229" s="49"/>
      <c r="B229" s="49"/>
      <c r="C229" s="49"/>
      <c r="D229" s="49"/>
      <c r="E229" s="49"/>
      <c r="F229" s="49"/>
      <c r="G229" s="294"/>
      <c r="H229" s="294"/>
      <c r="I229" s="294"/>
      <c r="J229" s="294"/>
      <c r="K229" s="294"/>
      <c r="L229" s="294"/>
      <c r="M229" s="294"/>
      <c r="N229" s="49"/>
    </row>
    <row r="230" spans="1:14" s="48" customFormat="1">
      <c r="A230" s="49"/>
      <c r="B230" s="49"/>
      <c r="C230" s="49"/>
      <c r="D230" s="49"/>
      <c r="E230" s="49"/>
      <c r="F230" s="49"/>
      <c r="G230" s="294"/>
      <c r="H230" s="294"/>
      <c r="I230" s="294"/>
      <c r="J230" s="294"/>
      <c r="K230" s="294"/>
      <c r="L230" s="294"/>
      <c r="M230" s="294"/>
      <c r="N230" s="49"/>
    </row>
    <row r="231" spans="1:14" s="48" customFormat="1">
      <c r="A231" s="49"/>
      <c r="B231" s="49"/>
      <c r="C231" s="49"/>
      <c r="D231" s="49"/>
      <c r="E231" s="49"/>
      <c r="F231" s="49"/>
      <c r="G231" s="294"/>
      <c r="H231" s="294"/>
      <c r="I231" s="294"/>
      <c r="J231" s="294"/>
      <c r="K231" s="294"/>
      <c r="L231" s="294"/>
      <c r="M231" s="294"/>
      <c r="N231" s="49"/>
    </row>
    <row r="232" spans="1:14" s="48" customFormat="1">
      <c r="A232" s="49"/>
      <c r="B232" s="49"/>
      <c r="C232" s="49"/>
      <c r="D232" s="49"/>
      <c r="E232" s="49"/>
      <c r="F232" s="49"/>
      <c r="G232" s="294"/>
      <c r="H232" s="294"/>
      <c r="I232" s="294"/>
      <c r="J232" s="294"/>
      <c r="K232" s="294"/>
      <c r="L232" s="294"/>
      <c r="M232" s="294"/>
      <c r="N232" s="49"/>
    </row>
    <row r="233" spans="1:14" s="48" customFormat="1">
      <c r="A233" s="49"/>
      <c r="B233" s="49"/>
      <c r="C233" s="49"/>
      <c r="D233" s="49"/>
      <c r="E233" s="49"/>
      <c r="F233" s="49"/>
      <c r="G233" s="294"/>
      <c r="H233" s="294"/>
      <c r="I233" s="294"/>
      <c r="J233" s="294"/>
      <c r="K233" s="294"/>
      <c r="L233" s="294"/>
      <c r="M233" s="294"/>
      <c r="N233" s="49"/>
    </row>
    <row r="234" spans="1:14" s="48" customFormat="1">
      <c r="A234" s="49"/>
      <c r="B234" s="49"/>
      <c r="C234" s="49"/>
      <c r="D234" s="49"/>
      <c r="E234" s="49"/>
      <c r="F234" s="49"/>
      <c r="G234" s="294"/>
      <c r="H234" s="294"/>
      <c r="I234" s="294"/>
      <c r="J234" s="294"/>
      <c r="K234" s="294"/>
      <c r="L234" s="294"/>
      <c r="M234" s="294"/>
      <c r="N234" s="49"/>
    </row>
    <row r="235" spans="1:14" s="48" customFormat="1">
      <c r="A235" s="49"/>
      <c r="B235" s="49"/>
      <c r="C235" s="49"/>
      <c r="D235" s="49"/>
      <c r="E235" s="49"/>
      <c r="F235" s="49"/>
      <c r="G235" s="294"/>
      <c r="H235" s="294"/>
      <c r="I235" s="294"/>
      <c r="J235" s="294"/>
      <c r="K235" s="294"/>
      <c r="L235" s="294"/>
      <c r="M235" s="294"/>
      <c r="N235" s="49"/>
    </row>
    <row r="236" spans="1:14" s="48" customFormat="1">
      <c r="A236" s="49"/>
      <c r="B236" s="49"/>
      <c r="C236" s="49"/>
      <c r="D236" s="49"/>
      <c r="E236" s="49"/>
      <c r="F236" s="49"/>
      <c r="G236" s="294"/>
      <c r="H236" s="294"/>
      <c r="I236" s="294"/>
      <c r="J236" s="294"/>
      <c r="K236" s="294"/>
      <c r="L236" s="294"/>
      <c r="M236" s="294"/>
      <c r="N236" s="49"/>
    </row>
    <row r="237" spans="1:14" s="48" customFormat="1">
      <c r="A237" s="49"/>
      <c r="B237" s="49"/>
      <c r="C237" s="49"/>
      <c r="D237" s="49"/>
      <c r="E237" s="49"/>
      <c r="F237" s="49"/>
      <c r="G237" s="294"/>
      <c r="H237" s="294"/>
      <c r="I237" s="294"/>
      <c r="J237" s="294"/>
      <c r="K237" s="294"/>
      <c r="L237" s="294"/>
      <c r="M237" s="294"/>
      <c r="N237" s="49"/>
    </row>
    <row r="238" spans="1:14" s="48" customFormat="1">
      <c r="A238" s="49"/>
      <c r="B238" s="49"/>
      <c r="C238" s="49"/>
      <c r="D238" s="49"/>
      <c r="E238" s="49"/>
      <c r="F238" s="49"/>
      <c r="G238" s="294"/>
      <c r="H238" s="294"/>
      <c r="I238" s="294"/>
      <c r="J238" s="294"/>
      <c r="K238" s="294"/>
      <c r="L238" s="294"/>
      <c r="M238" s="294"/>
      <c r="N238" s="49"/>
    </row>
    <row r="239" spans="1:14" s="48" customFormat="1">
      <c r="A239" s="49"/>
      <c r="B239" s="49"/>
      <c r="C239" s="49"/>
      <c r="D239" s="49"/>
      <c r="E239" s="49"/>
      <c r="F239" s="49"/>
      <c r="G239" s="294"/>
      <c r="H239" s="294"/>
      <c r="I239" s="294"/>
      <c r="J239" s="294"/>
      <c r="K239" s="294"/>
      <c r="L239" s="294"/>
      <c r="M239" s="294"/>
      <c r="N239" s="49"/>
    </row>
    <row r="240" spans="1:14" s="48" customFormat="1">
      <c r="A240" s="49"/>
      <c r="B240" s="49"/>
      <c r="C240" s="49"/>
      <c r="D240" s="49"/>
      <c r="E240" s="49"/>
      <c r="F240" s="49"/>
      <c r="G240" s="294"/>
      <c r="H240" s="294"/>
      <c r="I240" s="294"/>
      <c r="J240" s="294"/>
      <c r="K240" s="294"/>
      <c r="L240" s="294"/>
      <c r="M240" s="294"/>
      <c r="N240" s="49"/>
    </row>
    <row r="241" spans="1:14" s="48" customFormat="1">
      <c r="A241" s="49"/>
      <c r="B241" s="49"/>
      <c r="C241" s="49"/>
      <c r="D241" s="49"/>
      <c r="E241" s="49"/>
      <c r="F241" s="49"/>
      <c r="G241" s="294"/>
      <c r="H241" s="294"/>
      <c r="I241" s="294"/>
      <c r="J241" s="294"/>
      <c r="K241" s="294"/>
      <c r="L241" s="294"/>
      <c r="M241" s="294"/>
      <c r="N241" s="49"/>
    </row>
    <row r="242" spans="1:14" s="48" customFormat="1">
      <c r="A242" s="49"/>
      <c r="B242" s="49"/>
      <c r="C242" s="49"/>
      <c r="D242" s="49"/>
      <c r="E242" s="49"/>
      <c r="F242" s="49"/>
      <c r="G242" s="294"/>
      <c r="H242" s="294"/>
      <c r="I242" s="294"/>
      <c r="J242" s="294"/>
      <c r="K242" s="294"/>
      <c r="L242" s="294"/>
      <c r="M242" s="294"/>
      <c r="N242" s="49"/>
    </row>
    <row r="243" spans="1:14" s="48" customFormat="1">
      <c r="A243" s="49"/>
      <c r="B243" s="49"/>
      <c r="C243" s="49"/>
      <c r="D243" s="49"/>
      <c r="E243" s="49"/>
      <c r="F243" s="49"/>
      <c r="G243" s="294"/>
      <c r="H243" s="294"/>
      <c r="I243" s="294"/>
      <c r="J243" s="294"/>
      <c r="K243" s="294"/>
      <c r="L243" s="294"/>
      <c r="M243" s="294"/>
      <c r="N243" s="49"/>
    </row>
    <row r="244" spans="1:14" s="48" customFormat="1">
      <c r="A244" s="49"/>
      <c r="B244" s="49"/>
      <c r="C244" s="49"/>
      <c r="D244" s="49"/>
      <c r="E244" s="49"/>
      <c r="F244" s="49"/>
      <c r="G244" s="294"/>
      <c r="H244" s="294"/>
      <c r="I244" s="294"/>
      <c r="J244" s="294"/>
      <c r="K244" s="294"/>
      <c r="L244" s="294"/>
      <c r="M244" s="294"/>
      <c r="N244" s="49"/>
    </row>
    <row r="245" spans="1:14" s="48" customFormat="1">
      <c r="A245" s="49"/>
      <c r="B245" s="49"/>
      <c r="C245" s="49"/>
      <c r="D245" s="49"/>
      <c r="E245" s="49"/>
      <c r="F245" s="49"/>
      <c r="G245" s="294"/>
      <c r="H245" s="294"/>
      <c r="I245" s="294"/>
      <c r="J245" s="294"/>
      <c r="K245" s="294"/>
      <c r="L245" s="294"/>
      <c r="M245" s="294"/>
      <c r="N245" s="49"/>
    </row>
  </sheetData>
  <mergeCells count="79">
    <mergeCell ref="A134:A142"/>
    <mergeCell ref="B134:B142"/>
    <mergeCell ref="A148:A149"/>
    <mergeCell ref="B148:B149"/>
    <mergeCell ref="A154:A155"/>
    <mergeCell ref="B154:B155"/>
    <mergeCell ref="A144:A146"/>
    <mergeCell ref="B144:B146"/>
    <mergeCell ref="B151:B153"/>
    <mergeCell ref="A151:A153"/>
    <mergeCell ref="N119:N120"/>
    <mergeCell ref="A130:A133"/>
    <mergeCell ref="B130:B133"/>
    <mergeCell ref="N130:N131"/>
    <mergeCell ref="A95:A97"/>
    <mergeCell ref="B95:B97"/>
    <mergeCell ref="A104:A106"/>
    <mergeCell ref="B104:B106"/>
    <mergeCell ref="N104:N105"/>
    <mergeCell ref="A99:A103"/>
    <mergeCell ref="B99:B103"/>
    <mergeCell ref="N99:N100"/>
    <mergeCell ref="B119:B124"/>
    <mergeCell ref="A119:A124"/>
    <mergeCell ref="B125:B129"/>
    <mergeCell ref="A125:A129"/>
    <mergeCell ref="A75:A82"/>
    <mergeCell ref="B75:B82"/>
    <mergeCell ref="N75:N77"/>
    <mergeCell ref="A83:A94"/>
    <mergeCell ref="B83:B94"/>
    <mergeCell ref="N83:N87"/>
    <mergeCell ref="A64:A71"/>
    <mergeCell ref="B64:B71"/>
    <mergeCell ref="N64:N65"/>
    <mergeCell ref="N66:N67"/>
    <mergeCell ref="A72:A73"/>
    <mergeCell ref="B72:B73"/>
    <mergeCell ref="A55:A60"/>
    <mergeCell ref="B55:B60"/>
    <mergeCell ref="N55:N60"/>
    <mergeCell ref="A61:A63"/>
    <mergeCell ref="B61:B63"/>
    <mergeCell ref="N61:N63"/>
    <mergeCell ref="B50:B54"/>
    <mergeCell ref="N50:N54"/>
    <mergeCell ref="A32:A35"/>
    <mergeCell ref="B32:B35"/>
    <mergeCell ref="N32:N33"/>
    <mergeCell ref="N34:N35"/>
    <mergeCell ref="A37:A42"/>
    <mergeCell ref="B37:B42"/>
    <mergeCell ref="N37:N42"/>
    <mergeCell ref="A43:A44"/>
    <mergeCell ref="B43:B44"/>
    <mergeCell ref="A45:A49"/>
    <mergeCell ref="B45:B49"/>
    <mergeCell ref="N45:N48"/>
    <mergeCell ref="A7:N7"/>
    <mergeCell ref="A10:A13"/>
    <mergeCell ref="B10:B13"/>
    <mergeCell ref="N10:N11"/>
    <mergeCell ref="N12:N13"/>
    <mergeCell ref="A14:A15"/>
    <mergeCell ref="B14:B15"/>
    <mergeCell ref="N14:N15"/>
    <mergeCell ref="A117:A118"/>
    <mergeCell ref="B117:B118"/>
    <mergeCell ref="B112:B116"/>
    <mergeCell ref="A112:A116"/>
    <mergeCell ref="B107:B111"/>
    <mergeCell ref="A107:A111"/>
    <mergeCell ref="A19:A23"/>
    <mergeCell ref="B19:B23"/>
    <mergeCell ref="N19:N23"/>
    <mergeCell ref="A25:A31"/>
    <mergeCell ref="B25:B31"/>
    <mergeCell ref="N25:N31"/>
    <mergeCell ref="A50:A54"/>
  </mergeCells>
  <pageMargins left="0.7" right="0.7" top="0.75" bottom="0.75" header="0.3" footer="0.3"/>
  <pageSetup paperSize="9" scale="87" fitToHeight="0" orientation="portrait" horizontalDpi="30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1"/>
  <sheetViews>
    <sheetView zoomScaleNormal="100" zoomScaleSheetLayoutView="130" workbookViewId="0">
      <selection activeCell="R8" sqref="R8"/>
    </sheetView>
  </sheetViews>
  <sheetFormatPr defaultColWidth="9.140625" defaultRowHeight="12.75"/>
  <cols>
    <col min="1" max="1" width="3" style="48" bestFit="1" customWidth="1"/>
    <col min="2" max="2" width="29.5703125" style="48" customWidth="1"/>
    <col min="3" max="3" width="8.42578125" style="48" bestFit="1" customWidth="1"/>
    <col min="4" max="4" width="18.42578125" style="48" hidden="1" customWidth="1"/>
    <col min="5" max="6" width="12.5703125" style="48" hidden="1" customWidth="1"/>
    <col min="7" max="7" width="12.5703125" style="277" customWidth="1"/>
    <col min="8" max="9" width="12.140625" style="277" hidden="1" customWidth="1"/>
    <col min="10" max="10" width="13" style="277" hidden="1" customWidth="1"/>
    <col min="11" max="11" width="11.5703125" style="277" hidden="1" customWidth="1"/>
    <col min="12" max="12" width="9.42578125" style="277" hidden="1" customWidth="1"/>
    <col min="13" max="13" width="12.140625" style="277" customWidth="1"/>
    <col min="14" max="14" width="40.85546875" style="48" customWidth="1"/>
    <col min="15" max="16" width="9.140625" style="48"/>
    <col min="17" max="17" width="9.140625" style="46"/>
    <col min="18" max="16384" width="9.140625" style="48"/>
  </cols>
  <sheetData>
    <row r="1" spans="1:17">
      <c r="M1" s="278"/>
      <c r="N1" s="3" t="s">
        <v>0</v>
      </c>
    </row>
    <row r="2" spans="1:17">
      <c r="M2" s="278"/>
      <c r="N2" s="32" t="s">
        <v>296</v>
      </c>
    </row>
    <row r="3" spans="1:17">
      <c r="M3" s="278"/>
      <c r="N3" s="3" t="s">
        <v>434</v>
      </c>
    </row>
    <row r="4" spans="1:17">
      <c r="M4" s="278"/>
      <c r="N4" s="3" t="s">
        <v>436</v>
      </c>
    </row>
    <row r="5" spans="1:17">
      <c r="M5" s="278"/>
      <c r="N5" s="35" t="s">
        <v>232</v>
      </c>
    </row>
    <row r="6" spans="1:17">
      <c r="N6" s="35"/>
    </row>
    <row r="7" spans="1:17" ht="27" customHeight="1">
      <c r="A7" s="425" t="s">
        <v>112</v>
      </c>
      <c r="B7" s="426"/>
      <c r="C7" s="426"/>
      <c r="D7" s="426"/>
      <c r="E7" s="426"/>
      <c r="F7" s="426"/>
      <c r="G7" s="426"/>
      <c r="H7" s="426"/>
      <c r="I7" s="426"/>
      <c r="J7" s="426"/>
      <c r="K7" s="426"/>
      <c r="L7" s="426"/>
      <c r="M7" s="426"/>
      <c r="N7" s="426"/>
    </row>
    <row r="8" spans="1:17" ht="54" customHeight="1">
      <c r="A8" s="165" t="s">
        <v>2</v>
      </c>
      <c r="B8" s="165" t="s">
        <v>25</v>
      </c>
      <c r="C8" s="165" t="s">
        <v>113</v>
      </c>
      <c r="D8" s="30" t="s">
        <v>273</v>
      </c>
      <c r="E8" s="30" t="s">
        <v>281</v>
      </c>
      <c r="F8" s="30" t="s">
        <v>284</v>
      </c>
      <c r="G8" s="279" t="s">
        <v>285</v>
      </c>
      <c r="H8" s="279" t="s">
        <v>235</v>
      </c>
      <c r="I8" s="279" t="s">
        <v>274</v>
      </c>
      <c r="J8" s="279" t="s">
        <v>256</v>
      </c>
      <c r="K8" s="279" t="s">
        <v>257</v>
      </c>
      <c r="L8" s="279" t="s">
        <v>234</v>
      </c>
      <c r="M8" s="279" t="s">
        <v>283</v>
      </c>
      <c r="N8" s="165" t="s">
        <v>114</v>
      </c>
    </row>
    <row r="9" spans="1:17">
      <c r="A9" s="44">
        <v>1</v>
      </c>
      <c r="B9" s="44">
        <v>2</v>
      </c>
      <c r="C9" s="44">
        <v>3</v>
      </c>
      <c r="D9" s="44">
        <v>4</v>
      </c>
      <c r="E9" s="44"/>
      <c r="F9" s="44"/>
      <c r="G9" s="280">
        <v>4</v>
      </c>
      <c r="H9" s="280">
        <v>5</v>
      </c>
      <c r="I9" s="280"/>
      <c r="J9" s="280">
        <v>6</v>
      </c>
      <c r="K9" s="280">
        <v>7</v>
      </c>
      <c r="L9" s="280">
        <v>8</v>
      </c>
      <c r="M9" s="280">
        <v>5</v>
      </c>
      <c r="N9" s="44">
        <v>6</v>
      </c>
    </row>
    <row r="10" spans="1:17">
      <c r="A10" s="412">
        <v>1</v>
      </c>
      <c r="B10" s="459" t="s">
        <v>115</v>
      </c>
      <c r="C10" s="267">
        <v>2222</v>
      </c>
      <c r="D10" s="100">
        <v>3.5</v>
      </c>
      <c r="E10" s="100"/>
      <c r="F10" s="100"/>
      <c r="G10" s="358">
        <f>+D10+E10+F10</f>
        <v>3.5</v>
      </c>
      <c r="H10" s="358"/>
      <c r="I10" s="358"/>
      <c r="J10" s="358"/>
      <c r="K10" s="358"/>
      <c r="L10" s="358"/>
      <c r="M10" s="358"/>
      <c r="N10" s="447" t="s">
        <v>254</v>
      </c>
    </row>
    <row r="11" spans="1:17">
      <c r="A11" s="412"/>
      <c r="B11" s="459"/>
      <c r="C11" s="267">
        <v>3112</v>
      </c>
      <c r="D11" s="100">
        <v>10.1</v>
      </c>
      <c r="E11" s="100"/>
      <c r="F11" s="100"/>
      <c r="G11" s="358">
        <f t="shared" ref="G11:G74" si="0">+D11+E11+F11</f>
        <v>10.1</v>
      </c>
      <c r="H11" s="358"/>
      <c r="I11" s="358"/>
      <c r="J11" s="358"/>
      <c r="K11" s="358"/>
      <c r="L11" s="358"/>
      <c r="M11" s="358"/>
      <c r="N11" s="447"/>
    </row>
    <row r="12" spans="1:17">
      <c r="A12" s="412"/>
      <c r="B12" s="459"/>
      <c r="C12" s="267">
        <v>2111</v>
      </c>
      <c r="D12" s="100">
        <v>55.3</v>
      </c>
      <c r="E12" s="100"/>
      <c r="F12" s="100"/>
      <c r="G12" s="358">
        <f t="shared" si="0"/>
        <v>55.3</v>
      </c>
      <c r="H12" s="358"/>
      <c r="I12" s="358"/>
      <c r="J12" s="358"/>
      <c r="K12" s="358"/>
      <c r="L12" s="358"/>
      <c r="M12" s="358"/>
      <c r="N12" s="447" t="s">
        <v>397</v>
      </c>
    </row>
    <row r="13" spans="1:17">
      <c r="A13" s="412"/>
      <c r="B13" s="459"/>
      <c r="C13" s="267">
        <v>2121</v>
      </c>
      <c r="D13" s="100">
        <v>9.5</v>
      </c>
      <c r="E13" s="100"/>
      <c r="F13" s="100"/>
      <c r="G13" s="358">
        <f t="shared" si="0"/>
        <v>9.5</v>
      </c>
      <c r="H13" s="358"/>
      <c r="I13" s="358"/>
      <c r="J13" s="358"/>
      <c r="K13" s="358"/>
      <c r="L13" s="358"/>
      <c r="M13" s="358"/>
      <c r="N13" s="447"/>
    </row>
    <row r="14" spans="1:17">
      <c r="A14" s="412">
        <v>2</v>
      </c>
      <c r="B14" s="459" t="s">
        <v>23</v>
      </c>
      <c r="C14" s="267">
        <v>2215</v>
      </c>
      <c r="D14" s="100">
        <v>3.4</v>
      </c>
      <c r="E14" s="100"/>
      <c r="F14" s="100"/>
      <c r="G14" s="358">
        <f t="shared" si="0"/>
        <v>3.4</v>
      </c>
      <c r="H14" s="358"/>
      <c r="I14" s="358"/>
      <c r="J14" s="358"/>
      <c r="K14" s="358"/>
      <c r="L14" s="358"/>
      <c r="M14" s="358"/>
      <c r="N14" s="447" t="s">
        <v>254</v>
      </c>
      <c r="O14" s="51"/>
      <c r="P14" s="51"/>
      <c r="Q14" s="122"/>
    </row>
    <row r="15" spans="1:17">
      <c r="A15" s="412"/>
      <c r="B15" s="459"/>
      <c r="C15" s="267">
        <v>2218</v>
      </c>
      <c r="D15" s="100">
        <v>33.5</v>
      </c>
      <c r="E15" s="100"/>
      <c r="F15" s="100"/>
      <c r="G15" s="358">
        <f t="shared" si="0"/>
        <v>33.5</v>
      </c>
      <c r="H15" s="358"/>
      <c r="I15" s="358"/>
      <c r="J15" s="358"/>
      <c r="K15" s="358"/>
      <c r="L15" s="358"/>
      <c r="M15" s="358"/>
      <c r="N15" s="447"/>
      <c r="O15" s="51"/>
      <c r="P15" s="51"/>
      <c r="Q15" s="122"/>
    </row>
    <row r="16" spans="1:17" s="52" customFormat="1" hidden="1">
      <c r="A16" s="267"/>
      <c r="B16" s="276" t="s">
        <v>117</v>
      </c>
      <c r="C16" s="267"/>
      <c r="D16" s="100"/>
      <c r="E16" s="100"/>
      <c r="F16" s="100"/>
      <c r="G16" s="358">
        <f t="shared" si="0"/>
        <v>0</v>
      </c>
      <c r="H16" s="358"/>
      <c r="I16" s="358"/>
      <c r="J16" s="358"/>
      <c r="K16" s="358"/>
      <c r="L16" s="358"/>
      <c r="M16" s="358"/>
      <c r="N16" s="272"/>
      <c r="Q16" s="123"/>
    </row>
    <row r="17" spans="1:17" s="52" customFormat="1" ht="25.5">
      <c r="A17" s="267">
        <v>3</v>
      </c>
      <c r="B17" s="276" t="s">
        <v>19</v>
      </c>
      <c r="C17" s="267">
        <v>2215</v>
      </c>
      <c r="D17" s="100">
        <v>50.1</v>
      </c>
      <c r="E17" s="100"/>
      <c r="F17" s="100"/>
      <c r="G17" s="358">
        <f t="shared" si="0"/>
        <v>50.1</v>
      </c>
      <c r="H17" s="358"/>
      <c r="I17" s="358"/>
      <c r="J17" s="358"/>
      <c r="K17" s="358"/>
      <c r="L17" s="358"/>
      <c r="M17" s="358"/>
      <c r="N17" s="272" t="s">
        <v>254</v>
      </c>
      <c r="Q17" s="123"/>
    </row>
    <row r="18" spans="1:17" s="52" customFormat="1" ht="25.5">
      <c r="A18" s="267">
        <v>4</v>
      </c>
      <c r="B18" s="276" t="s">
        <v>121</v>
      </c>
      <c r="C18" s="267">
        <v>2215</v>
      </c>
      <c r="D18" s="100">
        <v>12.2</v>
      </c>
      <c r="E18" s="100"/>
      <c r="F18" s="100"/>
      <c r="G18" s="358">
        <f t="shared" si="0"/>
        <v>12.2</v>
      </c>
      <c r="H18" s="358"/>
      <c r="I18" s="358"/>
      <c r="J18" s="358"/>
      <c r="K18" s="358"/>
      <c r="L18" s="358"/>
      <c r="M18" s="358"/>
      <c r="N18" s="272" t="s">
        <v>254</v>
      </c>
      <c r="Q18" s="123"/>
    </row>
    <row r="19" spans="1:17" s="52" customFormat="1">
      <c r="A19" s="412">
        <v>5</v>
      </c>
      <c r="B19" s="459" t="s">
        <v>123</v>
      </c>
      <c r="C19" s="267">
        <v>2214</v>
      </c>
      <c r="D19" s="100">
        <v>7.5</v>
      </c>
      <c r="E19" s="100"/>
      <c r="F19" s="100"/>
      <c r="G19" s="358">
        <f t="shared" si="0"/>
        <v>7.5</v>
      </c>
      <c r="H19" s="358"/>
      <c r="I19" s="358"/>
      <c r="J19" s="358"/>
      <c r="K19" s="358"/>
      <c r="L19" s="358"/>
      <c r="M19" s="358"/>
      <c r="N19" s="447" t="s">
        <v>254</v>
      </c>
      <c r="Q19" s="123"/>
    </row>
    <row r="20" spans="1:17" s="52" customFormat="1">
      <c r="A20" s="412"/>
      <c r="B20" s="459"/>
      <c r="C20" s="267">
        <v>2215</v>
      </c>
      <c r="D20" s="100">
        <v>23.7</v>
      </c>
      <c r="E20" s="100"/>
      <c r="F20" s="100"/>
      <c r="G20" s="358">
        <f t="shared" si="0"/>
        <v>23.7</v>
      </c>
      <c r="H20" s="358"/>
      <c r="I20" s="358"/>
      <c r="J20" s="358"/>
      <c r="K20" s="358"/>
      <c r="L20" s="358"/>
      <c r="M20" s="358"/>
      <c r="N20" s="447"/>
      <c r="Q20" s="123"/>
    </row>
    <row r="21" spans="1:17" s="52" customFormat="1">
      <c r="A21" s="412"/>
      <c r="B21" s="459"/>
      <c r="C21" s="267">
        <v>2218</v>
      </c>
      <c r="D21" s="100">
        <v>3.6</v>
      </c>
      <c r="E21" s="100"/>
      <c r="F21" s="100"/>
      <c r="G21" s="358">
        <f t="shared" si="0"/>
        <v>3.6</v>
      </c>
      <c r="H21" s="358"/>
      <c r="I21" s="358"/>
      <c r="J21" s="358"/>
      <c r="K21" s="358"/>
      <c r="L21" s="358"/>
      <c r="M21" s="358"/>
      <c r="N21" s="447"/>
      <c r="Q21" s="123"/>
    </row>
    <row r="22" spans="1:17" s="52" customFormat="1">
      <c r="A22" s="412"/>
      <c r="B22" s="459"/>
      <c r="C22" s="267">
        <v>2222</v>
      </c>
      <c r="D22" s="100">
        <v>70</v>
      </c>
      <c r="E22" s="100"/>
      <c r="F22" s="100"/>
      <c r="G22" s="358">
        <f t="shared" si="0"/>
        <v>70</v>
      </c>
      <c r="H22" s="358"/>
      <c r="I22" s="358"/>
      <c r="J22" s="358"/>
      <c r="K22" s="358"/>
      <c r="L22" s="358"/>
      <c r="M22" s="358"/>
      <c r="N22" s="447"/>
      <c r="Q22" s="123"/>
    </row>
    <row r="23" spans="1:17" s="52" customFormat="1">
      <c r="A23" s="412"/>
      <c r="B23" s="459"/>
      <c r="C23" s="267">
        <v>3112</v>
      </c>
      <c r="D23" s="100">
        <v>9.6999999999999993</v>
      </c>
      <c r="E23" s="100"/>
      <c r="F23" s="100"/>
      <c r="G23" s="358">
        <f t="shared" si="0"/>
        <v>9.6999999999999993</v>
      </c>
      <c r="H23" s="358"/>
      <c r="I23" s="358"/>
      <c r="J23" s="358"/>
      <c r="K23" s="358"/>
      <c r="L23" s="358"/>
      <c r="M23" s="358"/>
      <c r="N23" s="447"/>
      <c r="Q23" s="123"/>
    </row>
    <row r="24" spans="1:17" ht="25.5" hidden="1">
      <c r="A24" s="267"/>
      <c r="B24" s="269" t="s">
        <v>188</v>
      </c>
      <c r="C24" s="267"/>
      <c r="D24" s="166"/>
      <c r="E24" s="166"/>
      <c r="F24" s="166"/>
      <c r="G24" s="358">
        <f t="shared" si="0"/>
        <v>0</v>
      </c>
      <c r="H24" s="358"/>
      <c r="I24" s="358"/>
      <c r="J24" s="358"/>
      <c r="K24" s="284"/>
      <c r="L24" s="358"/>
      <c r="M24" s="284"/>
      <c r="N24" s="272"/>
    </row>
    <row r="25" spans="1:17">
      <c r="A25" s="412">
        <v>6</v>
      </c>
      <c r="B25" s="424" t="s">
        <v>18</v>
      </c>
      <c r="C25" s="267">
        <v>2214</v>
      </c>
      <c r="D25" s="100">
        <v>38</v>
      </c>
      <c r="E25" s="100"/>
      <c r="F25" s="100"/>
      <c r="G25" s="358">
        <f t="shared" si="0"/>
        <v>38</v>
      </c>
      <c r="H25" s="358"/>
      <c r="I25" s="358"/>
      <c r="J25" s="358"/>
      <c r="K25" s="284"/>
      <c r="L25" s="358"/>
      <c r="M25" s="284"/>
      <c r="N25" s="447" t="s">
        <v>254</v>
      </c>
    </row>
    <row r="26" spans="1:17">
      <c r="A26" s="412"/>
      <c r="B26" s="424"/>
      <c r="C26" s="267">
        <v>2222</v>
      </c>
      <c r="D26" s="100">
        <v>23.5</v>
      </c>
      <c r="E26" s="100"/>
      <c r="F26" s="100"/>
      <c r="G26" s="358">
        <f t="shared" si="0"/>
        <v>23.5</v>
      </c>
      <c r="H26" s="358"/>
      <c r="I26" s="358"/>
      <c r="J26" s="358"/>
      <c r="K26" s="284"/>
      <c r="L26" s="358"/>
      <c r="M26" s="284"/>
      <c r="N26" s="447"/>
    </row>
    <row r="27" spans="1:17">
      <c r="A27" s="412"/>
      <c r="B27" s="424"/>
      <c r="C27" s="267">
        <v>2223</v>
      </c>
      <c r="D27" s="100">
        <v>1.4</v>
      </c>
      <c r="E27" s="100"/>
      <c r="F27" s="100"/>
      <c r="G27" s="358">
        <f t="shared" si="0"/>
        <v>1.4</v>
      </c>
      <c r="H27" s="358"/>
      <c r="I27" s="358"/>
      <c r="J27" s="358"/>
      <c r="K27" s="284"/>
      <c r="L27" s="358"/>
      <c r="M27" s="284"/>
      <c r="N27" s="447"/>
    </row>
    <row r="28" spans="1:17">
      <c r="A28" s="412"/>
      <c r="B28" s="424"/>
      <c r="C28" s="267">
        <v>3112</v>
      </c>
      <c r="D28" s="100">
        <v>3.7</v>
      </c>
      <c r="E28" s="100"/>
      <c r="F28" s="100"/>
      <c r="G28" s="358">
        <f t="shared" si="0"/>
        <v>3.7</v>
      </c>
      <c r="H28" s="358"/>
      <c r="I28" s="358"/>
      <c r="J28" s="358"/>
      <c r="K28" s="284"/>
      <c r="L28" s="358"/>
      <c r="M28" s="284"/>
      <c r="N28" s="447"/>
    </row>
    <row r="29" spans="1:17">
      <c r="A29" s="412"/>
      <c r="B29" s="424"/>
      <c r="C29" s="267">
        <v>3113</v>
      </c>
      <c r="D29" s="100">
        <v>179.5</v>
      </c>
      <c r="E29" s="100"/>
      <c r="F29" s="100"/>
      <c r="G29" s="358">
        <f t="shared" si="0"/>
        <v>179.5</v>
      </c>
      <c r="H29" s="358"/>
      <c r="I29" s="358"/>
      <c r="J29" s="358"/>
      <c r="K29" s="284"/>
      <c r="L29" s="358"/>
      <c r="M29" s="284"/>
      <c r="N29" s="447"/>
    </row>
    <row r="30" spans="1:17">
      <c r="A30" s="412"/>
      <c r="B30" s="424"/>
      <c r="C30" s="267">
        <v>3111</v>
      </c>
      <c r="D30" s="100">
        <v>3</v>
      </c>
      <c r="E30" s="100"/>
      <c r="F30" s="100"/>
      <c r="G30" s="358">
        <f t="shared" si="0"/>
        <v>3</v>
      </c>
      <c r="H30" s="358"/>
      <c r="I30" s="358"/>
      <c r="J30" s="358"/>
      <c r="K30" s="284"/>
      <c r="L30" s="358"/>
      <c r="M30" s="284"/>
      <c r="N30" s="447"/>
    </row>
    <row r="31" spans="1:17">
      <c r="A31" s="412"/>
      <c r="B31" s="424"/>
      <c r="C31" s="267">
        <v>2215</v>
      </c>
      <c r="D31" s="100">
        <v>83</v>
      </c>
      <c r="E31" s="100"/>
      <c r="F31" s="100"/>
      <c r="G31" s="358">
        <f t="shared" si="0"/>
        <v>83</v>
      </c>
      <c r="H31" s="358"/>
      <c r="I31" s="358"/>
      <c r="J31" s="358"/>
      <c r="K31" s="284"/>
      <c r="L31" s="358"/>
      <c r="M31" s="284"/>
      <c r="N31" s="447"/>
    </row>
    <row r="32" spans="1:17">
      <c r="A32" s="412">
        <v>7</v>
      </c>
      <c r="B32" s="424" t="s">
        <v>116</v>
      </c>
      <c r="C32" s="267">
        <v>2214</v>
      </c>
      <c r="D32" s="100">
        <v>554.5</v>
      </c>
      <c r="E32" s="100"/>
      <c r="F32" s="100"/>
      <c r="G32" s="358">
        <f t="shared" si="0"/>
        <v>554.5</v>
      </c>
      <c r="H32" s="358"/>
      <c r="I32" s="358"/>
      <c r="J32" s="358"/>
      <c r="K32" s="284"/>
      <c r="L32" s="358"/>
      <c r="M32" s="284"/>
      <c r="N32" s="447" t="s">
        <v>254</v>
      </c>
    </row>
    <row r="33" spans="1:17">
      <c r="A33" s="412"/>
      <c r="B33" s="424"/>
      <c r="C33" s="267">
        <v>2222</v>
      </c>
      <c r="D33" s="100">
        <v>124.8</v>
      </c>
      <c r="E33" s="100"/>
      <c r="F33" s="100"/>
      <c r="G33" s="358">
        <f t="shared" si="0"/>
        <v>124.8</v>
      </c>
      <c r="H33" s="358"/>
      <c r="I33" s="358"/>
      <c r="J33" s="358"/>
      <c r="K33" s="284"/>
      <c r="L33" s="358"/>
      <c r="M33" s="284"/>
      <c r="N33" s="447"/>
    </row>
    <row r="34" spans="1:17">
      <c r="A34" s="412"/>
      <c r="B34" s="424"/>
      <c r="C34" s="267">
        <v>2111</v>
      </c>
      <c r="D34" s="100"/>
      <c r="E34" s="100">
        <v>814.3</v>
      </c>
      <c r="F34" s="100"/>
      <c r="G34" s="358">
        <f t="shared" si="0"/>
        <v>814.3</v>
      </c>
      <c r="H34" s="358"/>
      <c r="I34" s="358"/>
      <c r="J34" s="358"/>
      <c r="K34" s="284"/>
      <c r="L34" s="358"/>
      <c r="M34" s="284"/>
      <c r="N34" s="447" t="s">
        <v>282</v>
      </c>
    </row>
    <row r="35" spans="1:17">
      <c r="A35" s="412"/>
      <c r="B35" s="424"/>
      <c r="C35" s="267">
        <v>2121</v>
      </c>
      <c r="D35" s="100"/>
      <c r="E35" s="100">
        <v>140.4</v>
      </c>
      <c r="F35" s="100"/>
      <c r="G35" s="358">
        <f t="shared" si="0"/>
        <v>140.4</v>
      </c>
      <c r="H35" s="358"/>
      <c r="I35" s="358"/>
      <c r="J35" s="358"/>
      <c r="K35" s="284"/>
      <c r="L35" s="358"/>
      <c r="M35" s="284"/>
      <c r="N35" s="447"/>
    </row>
    <row r="36" spans="1:17" ht="25.5">
      <c r="A36" s="267">
        <v>8</v>
      </c>
      <c r="B36" s="269" t="s">
        <v>240</v>
      </c>
      <c r="C36" s="267">
        <v>2215</v>
      </c>
      <c r="D36" s="100">
        <v>0.4</v>
      </c>
      <c r="E36" s="100"/>
      <c r="F36" s="100"/>
      <c r="G36" s="358">
        <f t="shared" si="0"/>
        <v>0.4</v>
      </c>
      <c r="H36" s="358"/>
      <c r="I36" s="358"/>
      <c r="J36" s="358"/>
      <c r="K36" s="284"/>
      <c r="L36" s="358"/>
      <c r="M36" s="284"/>
      <c r="N36" s="272" t="s">
        <v>254</v>
      </c>
      <c r="O36" s="51"/>
      <c r="P36" s="50"/>
      <c r="Q36" s="144"/>
    </row>
    <row r="37" spans="1:17">
      <c r="A37" s="412">
        <v>9</v>
      </c>
      <c r="B37" s="424" t="s">
        <v>149</v>
      </c>
      <c r="C37" s="267">
        <v>2214</v>
      </c>
      <c r="D37" s="100">
        <v>183</v>
      </c>
      <c r="E37" s="100"/>
      <c r="F37" s="100"/>
      <c r="G37" s="358">
        <f t="shared" si="0"/>
        <v>183</v>
      </c>
      <c r="H37" s="358"/>
      <c r="I37" s="358"/>
      <c r="J37" s="358"/>
      <c r="K37" s="284"/>
      <c r="L37" s="358"/>
      <c r="M37" s="284"/>
      <c r="N37" s="447" t="s">
        <v>254</v>
      </c>
    </row>
    <row r="38" spans="1:17">
      <c r="A38" s="412"/>
      <c r="B38" s="424"/>
      <c r="C38" s="267">
        <v>2215</v>
      </c>
      <c r="D38" s="100">
        <v>66.400000000000006</v>
      </c>
      <c r="E38" s="100"/>
      <c r="F38" s="100"/>
      <c r="G38" s="358">
        <f t="shared" si="0"/>
        <v>66.400000000000006</v>
      </c>
      <c r="H38" s="358"/>
      <c r="I38" s="358"/>
      <c r="J38" s="358"/>
      <c r="K38" s="284"/>
      <c r="L38" s="358"/>
      <c r="M38" s="284"/>
      <c r="N38" s="447"/>
    </row>
    <row r="39" spans="1:17">
      <c r="A39" s="412"/>
      <c r="B39" s="424"/>
      <c r="C39" s="267">
        <v>2222</v>
      </c>
      <c r="D39" s="100">
        <v>449.7</v>
      </c>
      <c r="E39" s="100"/>
      <c r="F39" s="100"/>
      <c r="G39" s="358">
        <f t="shared" si="0"/>
        <v>449.7</v>
      </c>
      <c r="H39" s="358"/>
      <c r="I39" s="358"/>
      <c r="J39" s="358"/>
      <c r="K39" s="284"/>
      <c r="L39" s="358"/>
      <c r="M39" s="284"/>
      <c r="N39" s="447"/>
    </row>
    <row r="40" spans="1:17">
      <c r="A40" s="412"/>
      <c r="B40" s="424"/>
      <c r="C40" s="267">
        <v>2223</v>
      </c>
      <c r="D40" s="100">
        <v>57.4</v>
      </c>
      <c r="E40" s="100"/>
      <c r="F40" s="100"/>
      <c r="G40" s="358">
        <f t="shared" si="0"/>
        <v>57.4</v>
      </c>
      <c r="H40" s="358"/>
      <c r="I40" s="358"/>
      <c r="J40" s="358"/>
      <c r="K40" s="284"/>
      <c r="L40" s="358"/>
      <c r="M40" s="284"/>
      <c r="N40" s="447"/>
      <c r="O40" s="51"/>
      <c r="P40" s="51"/>
      <c r="Q40" s="122"/>
    </row>
    <row r="41" spans="1:17">
      <c r="A41" s="412"/>
      <c r="B41" s="424"/>
      <c r="C41" s="267">
        <v>3112</v>
      </c>
      <c r="D41" s="100">
        <v>26</v>
      </c>
      <c r="E41" s="100"/>
      <c r="F41" s="100"/>
      <c r="G41" s="358">
        <f t="shared" si="0"/>
        <v>26</v>
      </c>
      <c r="H41" s="358"/>
      <c r="I41" s="358"/>
      <c r="J41" s="358"/>
      <c r="K41" s="284"/>
      <c r="L41" s="358"/>
      <c r="M41" s="284"/>
      <c r="N41" s="447"/>
      <c r="O41" s="51"/>
      <c r="P41" s="51"/>
      <c r="Q41" s="122"/>
    </row>
    <row r="42" spans="1:17">
      <c r="A42" s="412"/>
      <c r="B42" s="424"/>
      <c r="C42" s="267">
        <v>3122</v>
      </c>
      <c r="D42" s="100">
        <v>2460.3000000000002</v>
      </c>
      <c r="E42" s="100"/>
      <c r="F42" s="100"/>
      <c r="G42" s="358">
        <f t="shared" si="0"/>
        <v>2460.3000000000002</v>
      </c>
      <c r="H42" s="358"/>
      <c r="I42" s="358"/>
      <c r="J42" s="358"/>
      <c r="K42" s="284"/>
      <c r="L42" s="358"/>
      <c r="M42" s="284"/>
      <c r="N42" s="447"/>
      <c r="O42" s="51"/>
      <c r="P42" s="51"/>
      <c r="Q42" s="122"/>
    </row>
    <row r="43" spans="1:17" hidden="1">
      <c r="A43" s="412"/>
      <c r="B43" s="424" t="s">
        <v>133</v>
      </c>
      <c r="C43" s="267"/>
      <c r="D43" s="100"/>
      <c r="E43" s="100"/>
      <c r="F43" s="100"/>
      <c r="G43" s="358">
        <f t="shared" si="0"/>
        <v>0</v>
      </c>
      <c r="H43" s="358"/>
      <c r="I43" s="358"/>
      <c r="J43" s="358"/>
      <c r="K43" s="284"/>
      <c r="L43" s="358"/>
      <c r="M43" s="284"/>
      <c r="N43" s="272"/>
      <c r="P43" s="50"/>
    </row>
    <row r="44" spans="1:17" hidden="1">
      <c r="A44" s="412"/>
      <c r="B44" s="424"/>
      <c r="C44" s="267"/>
      <c r="D44" s="100"/>
      <c r="E44" s="100"/>
      <c r="F44" s="100"/>
      <c r="G44" s="358">
        <f t="shared" si="0"/>
        <v>0</v>
      </c>
      <c r="H44" s="358"/>
      <c r="I44" s="358"/>
      <c r="J44" s="358"/>
      <c r="K44" s="284"/>
      <c r="L44" s="358"/>
      <c r="M44" s="284"/>
      <c r="N44" s="272"/>
      <c r="P44" s="50"/>
    </row>
    <row r="45" spans="1:17">
      <c r="A45" s="412">
        <v>10</v>
      </c>
      <c r="B45" s="424" t="s">
        <v>16</v>
      </c>
      <c r="C45" s="267">
        <v>2214</v>
      </c>
      <c r="D45" s="100">
        <v>6.5</v>
      </c>
      <c r="E45" s="100"/>
      <c r="F45" s="100"/>
      <c r="G45" s="358">
        <f t="shared" si="0"/>
        <v>6.5</v>
      </c>
      <c r="H45" s="358"/>
      <c r="I45" s="358"/>
      <c r="J45" s="358"/>
      <c r="K45" s="284"/>
      <c r="L45" s="358"/>
      <c r="M45" s="284"/>
      <c r="N45" s="447" t="s">
        <v>254</v>
      </c>
    </row>
    <row r="46" spans="1:17">
      <c r="A46" s="412"/>
      <c r="B46" s="424"/>
      <c r="C46" s="267">
        <v>2215</v>
      </c>
      <c r="D46" s="100">
        <v>80.5</v>
      </c>
      <c r="E46" s="100"/>
      <c r="F46" s="100"/>
      <c r="G46" s="358">
        <f t="shared" si="0"/>
        <v>80.5</v>
      </c>
      <c r="H46" s="358"/>
      <c r="I46" s="358"/>
      <c r="J46" s="358"/>
      <c r="K46" s="284"/>
      <c r="L46" s="358"/>
      <c r="M46" s="284"/>
      <c r="N46" s="447"/>
    </row>
    <row r="47" spans="1:17">
      <c r="A47" s="412"/>
      <c r="B47" s="424"/>
      <c r="C47" s="267">
        <v>2222</v>
      </c>
      <c r="D47" s="100">
        <v>2.6</v>
      </c>
      <c r="E47" s="100"/>
      <c r="F47" s="100"/>
      <c r="G47" s="358">
        <f t="shared" si="0"/>
        <v>2.6</v>
      </c>
      <c r="H47" s="358"/>
      <c r="I47" s="358"/>
      <c r="J47" s="358"/>
      <c r="K47" s="284"/>
      <c r="L47" s="358"/>
      <c r="M47" s="284"/>
      <c r="N47" s="447"/>
      <c r="O47" s="251"/>
    </row>
    <row r="48" spans="1:17">
      <c r="A48" s="412"/>
      <c r="B48" s="424"/>
      <c r="C48" s="267">
        <v>3111</v>
      </c>
      <c r="D48" s="100">
        <v>4970.3999999999996</v>
      </c>
      <c r="E48" s="100"/>
      <c r="F48" s="100"/>
      <c r="G48" s="358">
        <f t="shared" si="0"/>
        <v>4970.3999999999996</v>
      </c>
      <c r="H48" s="358"/>
      <c r="I48" s="358"/>
      <c r="J48" s="358"/>
      <c r="K48" s="284"/>
      <c r="L48" s="358"/>
      <c r="M48" s="284"/>
      <c r="N48" s="447"/>
    </row>
    <row r="49" spans="1:17" ht="25.5">
      <c r="A49" s="412"/>
      <c r="B49" s="424"/>
      <c r="C49" s="267">
        <v>3111</v>
      </c>
      <c r="D49" s="100"/>
      <c r="E49" s="100">
        <v>2246.8000000000002</v>
      </c>
      <c r="F49" s="100"/>
      <c r="G49" s="358">
        <f t="shared" si="0"/>
        <v>2246.8000000000002</v>
      </c>
      <c r="H49" s="358"/>
      <c r="I49" s="358"/>
      <c r="J49" s="358"/>
      <c r="K49" s="284"/>
      <c r="L49" s="358"/>
      <c r="M49" s="284"/>
      <c r="N49" s="272" t="s">
        <v>254</v>
      </c>
      <c r="Q49" s="48"/>
    </row>
    <row r="50" spans="1:17">
      <c r="A50" s="412">
        <v>11</v>
      </c>
      <c r="B50" s="459" t="s">
        <v>17</v>
      </c>
      <c r="C50" s="267">
        <v>2214</v>
      </c>
      <c r="D50" s="100">
        <v>34.9</v>
      </c>
      <c r="E50" s="100"/>
      <c r="F50" s="100"/>
      <c r="G50" s="358">
        <f t="shared" si="0"/>
        <v>34.9</v>
      </c>
      <c r="H50" s="358"/>
      <c r="I50" s="358"/>
      <c r="J50" s="358"/>
      <c r="K50" s="284"/>
      <c r="L50" s="358"/>
      <c r="M50" s="284"/>
      <c r="N50" s="447" t="s">
        <v>254</v>
      </c>
      <c r="Q50" s="48"/>
    </row>
    <row r="51" spans="1:17">
      <c r="A51" s="412"/>
      <c r="B51" s="459"/>
      <c r="C51" s="267">
        <v>2215</v>
      </c>
      <c r="D51" s="100">
        <v>83.1</v>
      </c>
      <c r="E51" s="100"/>
      <c r="F51" s="100"/>
      <c r="G51" s="358">
        <f t="shared" si="0"/>
        <v>83.1</v>
      </c>
      <c r="H51" s="358"/>
      <c r="I51" s="358"/>
      <c r="J51" s="358"/>
      <c r="K51" s="284"/>
      <c r="L51" s="358"/>
      <c r="M51" s="284"/>
      <c r="N51" s="447"/>
      <c r="Q51" s="48"/>
    </row>
    <row r="52" spans="1:17">
      <c r="A52" s="412"/>
      <c r="B52" s="459"/>
      <c r="C52" s="267">
        <v>2221</v>
      </c>
      <c r="D52" s="100">
        <v>18.2</v>
      </c>
      <c r="E52" s="100"/>
      <c r="F52" s="100"/>
      <c r="G52" s="358">
        <f t="shared" si="0"/>
        <v>18.2</v>
      </c>
      <c r="H52" s="358"/>
      <c r="I52" s="358"/>
      <c r="J52" s="358"/>
      <c r="K52" s="284"/>
      <c r="L52" s="358"/>
      <c r="M52" s="284"/>
      <c r="N52" s="447"/>
      <c r="Q52" s="48"/>
    </row>
    <row r="53" spans="1:17">
      <c r="A53" s="412"/>
      <c r="B53" s="459"/>
      <c r="C53" s="267">
        <v>2222</v>
      </c>
      <c r="D53" s="100">
        <v>594.6</v>
      </c>
      <c r="E53" s="100"/>
      <c r="F53" s="100"/>
      <c r="G53" s="358">
        <f t="shared" si="0"/>
        <v>594.6</v>
      </c>
      <c r="H53" s="358"/>
      <c r="I53" s="358"/>
      <c r="J53" s="358"/>
      <c r="K53" s="284"/>
      <c r="L53" s="358"/>
      <c r="M53" s="284"/>
      <c r="N53" s="447"/>
      <c r="Q53" s="48"/>
    </row>
    <row r="54" spans="1:17">
      <c r="A54" s="412"/>
      <c r="B54" s="459"/>
      <c r="C54" s="267">
        <v>3112</v>
      </c>
      <c r="D54" s="100">
        <v>202.1</v>
      </c>
      <c r="E54" s="100"/>
      <c r="F54" s="100"/>
      <c r="G54" s="358">
        <f t="shared" si="0"/>
        <v>202.1</v>
      </c>
      <c r="H54" s="358"/>
      <c r="I54" s="358"/>
      <c r="J54" s="358"/>
      <c r="K54" s="284"/>
      <c r="L54" s="358"/>
      <c r="M54" s="284"/>
      <c r="N54" s="447"/>
      <c r="Q54" s="48"/>
    </row>
    <row r="55" spans="1:17">
      <c r="A55" s="412">
        <v>12</v>
      </c>
      <c r="B55" s="459" t="s">
        <v>28</v>
      </c>
      <c r="C55" s="267">
        <v>2111</v>
      </c>
      <c r="D55" s="100">
        <v>164.4</v>
      </c>
      <c r="E55" s="100"/>
      <c r="F55" s="100"/>
      <c r="G55" s="358">
        <f t="shared" si="0"/>
        <v>164.4</v>
      </c>
      <c r="H55" s="358"/>
      <c r="I55" s="358"/>
      <c r="J55" s="358"/>
      <c r="K55" s="284"/>
      <c r="L55" s="358"/>
      <c r="M55" s="284"/>
      <c r="N55" s="447" t="s">
        <v>254</v>
      </c>
      <c r="Q55" s="48"/>
    </row>
    <row r="56" spans="1:17">
      <c r="A56" s="412"/>
      <c r="B56" s="459"/>
      <c r="C56" s="267">
        <v>2121</v>
      </c>
      <c r="D56" s="100">
        <v>28.4</v>
      </c>
      <c r="E56" s="100"/>
      <c r="F56" s="100"/>
      <c r="G56" s="358">
        <f t="shared" si="0"/>
        <v>28.4</v>
      </c>
      <c r="H56" s="358"/>
      <c r="I56" s="358"/>
      <c r="J56" s="358"/>
      <c r="K56" s="284"/>
      <c r="L56" s="358"/>
      <c r="M56" s="284"/>
      <c r="N56" s="447"/>
      <c r="Q56" s="48"/>
    </row>
    <row r="57" spans="1:17">
      <c r="A57" s="412"/>
      <c r="B57" s="459"/>
      <c r="C57" s="267">
        <v>2214</v>
      </c>
      <c r="D57" s="100">
        <v>1.9</v>
      </c>
      <c r="E57" s="100"/>
      <c r="F57" s="100"/>
      <c r="G57" s="358">
        <f t="shared" si="0"/>
        <v>1.9</v>
      </c>
      <c r="H57" s="358"/>
      <c r="I57" s="358"/>
      <c r="J57" s="358"/>
      <c r="K57" s="284"/>
      <c r="L57" s="358"/>
      <c r="M57" s="284"/>
      <c r="N57" s="447"/>
      <c r="Q57" s="48"/>
    </row>
    <row r="58" spans="1:17">
      <c r="A58" s="412"/>
      <c r="B58" s="459"/>
      <c r="C58" s="267">
        <v>2215</v>
      </c>
      <c r="D58" s="100">
        <f>5+6+17.8+0.5+7.5+4</f>
        <v>40.799999999999997</v>
      </c>
      <c r="E58" s="100"/>
      <c r="F58" s="100"/>
      <c r="G58" s="358">
        <f t="shared" si="0"/>
        <v>40.799999999999997</v>
      </c>
      <c r="H58" s="358"/>
      <c r="I58" s="358"/>
      <c r="J58" s="358"/>
      <c r="K58" s="284"/>
      <c r="L58" s="358"/>
      <c r="M58" s="284"/>
      <c r="N58" s="447"/>
      <c r="Q58" s="48"/>
    </row>
    <row r="59" spans="1:17">
      <c r="A59" s="412"/>
      <c r="B59" s="459"/>
      <c r="C59" s="267">
        <v>2222</v>
      </c>
      <c r="D59" s="100">
        <v>28.8</v>
      </c>
      <c r="E59" s="100"/>
      <c r="F59" s="100"/>
      <c r="G59" s="358">
        <f t="shared" si="0"/>
        <v>28.8</v>
      </c>
      <c r="H59" s="358"/>
      <c r="I59" s="358"/>
      <c r="J59" s="358"/>
      <c r="K59" s="284"/>
      <c r="L59" s="358"/>
      <c r="M59" s="284"/>
      <c r="N59" s="447"/>
      <c r="Q59" s="48"/>
    </row>
    <row r="60" spans="1:17">
      <c r="A60" s="412"/>
      <c r="B60" s="459"/>
      <c r="C60" s="267">
        <v>3112</v>
      </c>
      <c r="D60" s="100">
        <v>17.399999999999999</v>
      </c>
      <c r="E60" s="100"/>
      <c r="F60" s="100"/>
      <c r="G60" s="358">
        <f t="shared" si="0"/>
        <v>17.399999999999999</v>
      </c>
      <c r="H60" s="358"/>
      <c r="I60" s="358"/>
      <c r="J60" s="358"/>
      <c r="K60" s="284"/>
      <c r="L60" s="358"/>
      <c r="M60" s="284"/>
      <c r="N60" s="447"/>
      <c r="Q60" s="48"/>
    </row>
    <row r="61" spans="1:17">
      <c r="A61" s="412">
        <v>13</v>
      </c>
      <c r="B61" s="459" t="s">
        <v>15</v>
      </c>
      <c r="C61" s="267">
        <v>2214</v>
      </c>
      <c r="D61" s="100">
        <v>3.9</v>
      </c>
      <c r="E61" s="100"/>
      <c r="F61" s="100"/>
      <c r="G61" s="358">
        <f t="shared" si="0"/>
        <v>3.9</v>
      </c>
      <c r="H61" s="358"/>
      <c r="I61" s="358"/>
      <c r="J61" s="358"/>
      <c r="K61" s="284"/>
      <c r="L61" s="358"/>
      <c r="M61" s="284"/>
      <c r="N61" s="447" t="s">
        <v>254</v>
      </c>
      <c r="Q61" s="48"/>
    </row>
    <row r="62" spans="1:17">
      <c r="A62" s="412"/>
      <c r="B62" s="459"/>
      <c r="C62" s="267">
        <v>2222</v>
      </c>
      <c r="D62" s="100">
        <v>16.100000000000001</v>
      </c>
      <c r="E62" s="100"/>
      <c r="F62" s="100"/>
      <c r="G62" s="358">
        <f t="shared" si="0"/>
        <v>16.100000000000001</v>
      </c>
      <c r="H62" s="358"/>
      <c r="I62" s="358"/>
      <c r="J62" s="358"/>
      <c r="K62" s="284"/>
      <c r="L62" s="358"/>
      <c r="M62" s="284"/>
      <c r="N62" s="447"/>
      <c r="P62" s="50"/>
      <c r="Q62" s="48"/>
    </row>
    <row r="63" spans="1:17">
      <c r="A63" s="412"/>
      <c r="B63" s="459"/>
      <c r="C63" s="267">
        <v>3112</v>
      </c>
      <c r="D63" s="100">
        <v>10.5</v>
      </c>
      <c r="E63" s="100"/>
      <c r="F63" s="100"/>
      <c r="G63" s="358">
        <f t="shared" si="0"/>
        <v>10.5</v>
      </c>
      <c r="H63" s="358"/>
      <c r="I63" s="358"/>
      <c r="J63" s="358"/>
      <c r="K63" s="284"/>
      <c r="L63" s="358"/>
      <c r="M63" s="284"/>
      <c r="N63" s="447"/>
      <c r="P63" s="50"/>
      <c r="Q63" s="48"/>
    </row>
    <row r="64" spans="1:17">
      <c r="A64" s="412">
        <v>14</v>
      </c>
      <c r="B64" s="424" t="s">
        <v>139</v>
      </c>
      <c r="C64" s="267">
        <v>2214</v>
      </c>
      <c r="D64" s="100">
        <v>2.2999999999999998</v>
      </c>
      <c r="E64" s="100"/>
      <c r="F64" s="100"/>
      <c r="G64" s="358">
        <f t="shared" si="0"/>
        <v>2.2999999999999998</v>
      </c>
      <c r="H64" s="358"/>
      <c r="I64" s="358"/>
      <c r="J64" s="358"/>
      <c r="K64" s="284"/>
      <c r="L64" s="358"/>
      <c r="M64" s="284"/>
      <c r="N64" s="447" t="s">
        <v>254</v>
      </c>
      <c r="Q64" s="48"/>
    </row>
    <row r="65" spans="1:17">
      <c r="A65" s="412"/>
      <c r="B65" s="424"/>
      <c r="C65" s="267">
        <v>2215</v>
      </c>
      <c r="D65" s="100">
        <v>1</v>
      </c>
      <c r="E65" s="100"/>
      <c r="F65" s="100"/>
      <c r="G65" s="358">
        <f t="shared" si="0"/>
        <v>1</v>
      </c>
      <c r="H65" s="358"/>
      <c r="I65" s="358"/>
      <c r="J65" s="358"/>
      <c r="K65" s="284"/>
      <c r="L65" s="358"/>
      <c r="M65" s="284"/>
      <c r="N65" s="447"/>
    </row>
    <row r="66" spans="1:17" hidden="1">
      <c r="A66" s="412"/>
      <c r="B66" s="424"/>
      <c r="C66" s="267"/>
      <c r="D66" s="100"/>
      <c r="E66" s="100"/>
      <c r="F66" s="100"/>
      <c r="G66" s="358">
        <f t="shared" si="0"/>
        <v>0</v>
      </c>
      <c r="H66" s="358"/>
      <c r="I66" s="358"/>
      <c r="J66" s="358"/>
      <c r="K66" s="284"/>
      <c r="L66" s="358"/>
      <c r="M66" s="284"/>
      <c r="N66" s="447"/>
    </row>
    <row r="67" spans="1:17" hidden="1">
      <c r="A67" s="412"/>
      <c r="B67" s="424"/>
      <c r="C67" s="267"/>
      <c r="D67" s="100"/>
      <c r="E67" s="100"/>
      <c r="F67" s="100"/>
      <c r="G67" s="358">
        <f t="shared" si="0"/>
        <v>0</v>
      </c>
      <c r="H67" s="358"/>
      <c r="I67" s="358"/>
      <c r="J67" s="358"/>
      <c r="K67" s="284"/>
      <c r="L67" s="358"/>
      <c r="M67" s="284"/>
      <c r="N67" s="447"/>
    </row>
    <row r="68" spans="1:17" ht="15.6" hidden="1" customHeight="1">
      <c r="A68" s="412"/>
      <c r="B68" s="424"/>
      <c r="C68" s="267"/>
      <c r="D68" s="100"/>
      <c r="E68" s="100"/>
      <c r="F68" s="100"/>
      <c r="G68" s="358">
        <f t="shared" si="0"/>
        <v>0</v>
      </c>
      <c r="H68" s="358"/>
      <c r="I68" s="358"/>
      <c r="J68" s="358"/>
      <c r="K68" s="284"/>
      <c r="L68" s="358"/>
      <c r="M68" s="284"/>
      <c r="N68" s="272"/>
    </row>
    <row r="69" spans="1:17" hidden="1">
      <c r="A69" s="412"/>
      <c r="B69" s="424"/>
      <c r="C69" s="267"/>
      <c r="D69" s="100"/>
      <c r="E69" s="100"/>
      <c r="F69" s="100"/>
      <c r="G69" s="358">
        <f t="shared" si="0"/>
        <v>0</v>
      </c>
      <c r="H69" s="358"/>
      <c r="I69" s="358"/>
      <c r="J69" s="358"/>
      <c r="K69" s="284"/>
      <c r="L69" s="358"/>
      <c r="M69" s="284"/>
      <c r="N69" s="272"/>
    </row>
    <row r="70" spans="1:17" hidden="1">
      <c r="A70" s="412"/>
      <c r="B70" s="424"/>
      <c r="C70" s="267"/>
      <c r="D70" s="100"/>
      <c r="E70" s="100"/>
      <c r="F70" s="100"/>
      <c r="G70" s="358">
        <f t="shared" si="0"/>
        <v>0</v>
      </c>
      <c r="H70" s="358"/>
      <c r="I70" s="358"/>
      <c r="J70" s="358"/>
      <c r="K70" s="284"/>
      <c r="L70" s="358"/>
      <c r="M70" s="284"/>
      <c r="N70" s="272"/>
    </row>
    <row r="71" spans="1:17" hidden="1">
      <c r="A71" s="412"/>
      <c r="B71" s="424"/>
      <c r="C71" s="267"/>
      <c r="D71" s="100"/>
      <c r="E71" s="100"/>
      <c r="F71" s="100"/>
      <c r="G71" s="358">
        <f t="shared" si="0"/>
        <v>0</v>
      </c>
      <c r="H71" s="358"/>
      <c r="I71" s="358"/>
      <c r="J71" s="358"/>
      <c r="K71" s="284"/>
      <c r="L71" s="358"/>
      <c r="M71" s="284"/>
      <c r="N71" s="272"/>
    </row>
    <row r="72" spans="1:17" hidden="1">
      <c r="A72" s="412"/>
      <c r="B72" s="424" t="s">
        <v>142</v>
      </c>
      <c r="C72" s="267"/>
      <c r="D72" s="100"/>
      <c r="E72" s="100"/>
      <c r="F72" s="100"/>
      <c r="G72" s="358">
        <f t="shared" si="0"/>
        <v>0</v>
      </c>
      <c r="H72" s="358"/>
      <c r="I72" s="358"/>
      <c r="J72" s="358"/>
      <c r="K72" s="284"/>
      <c r="L72" s="358"/>
      <c r="M72" s="284"/>
      <c r="N72" s="272"/>
      <c r="P72" s="50"/>
      <c r="Q72" s="122"/>
    </row>
    <row r="73" spans="1:17" hidden="1">
      <c r="A73" s="412"/>
      <c r="B73" s="424"/>
      <c r="C73" s="267"/>
      <c r="D73" s="100"/>
      <c r="E73" s="100"/>
      <c r="F73" s="100"/>
      <c r="G73" s="358">
        <f t="shared" si="0"/>
        <v>0</v>
      </c>
      <c r="H73" s="358"/>
      <c r="I73" s="358"/>
      <c r="J73" s="358"/>
      <c r="K73" s="284"/>
      <c r="L73" s="358"/>
      <c r="M73" s="284"/>
      <c r="N73" s="272"/>
      <c r="P73" s="50"/>
    </row>
    <row r="74" spans="1:17" hidden="1">
      <c r="A74" s="273"/>
      <c r="B74" s="269" t="s">
        <v>21</v>
      </c>
      <c r="C74" s="267"/>
      <c r="D74" s="100"/>
      <c r="E74" s="100"/>
      <c r="F74" s="100"/>
      <c r="G74" s="358">
        <f t="shared" si="0"/>
        <v>0</v>
      </c>
      <c r="H74" s="358"/>
      <c r="I74" s="358"/>
      <c r="J74" s="358"/>
      <c r="K74" s="284"/>
      <c r="L74" s="358"/>
      <c r="M74" s="284"/>
      <c r="N74" s="272"/>
      <c r="O74" s="51"/>
    </row>
    <row r="75" spans="1:17">
      <c r="A75" s="412">
        <v>15</v>
      </c>
      <c r="B75" s="424" t="s">
        <v>22</v>
      </c>
      <c r="C75" s="267">
        <v>2215</v>
      </c>
      <c r="D75" s="100">
        <v>64.400000000000006</v>
      </c>
      <c r="E75" s="100"/>
      <c r="F75" s="100"/>
      <c r="G75" s="358">
        <f t="shared" ref="G75:G91" si="1">+D75+E75+F75</f>
        <v>64.400000000000006</v>
      </c>
      <c r="H75" s="358"/>
      <c r="I75" s="358"/>
      <c r="J75" s="358"/>
      <c r="K75" s="284"/>
      <c r="L75" s="358"/>
      <c r="M75" s="284"/>
      <c r="N75" s="447" t="s">
        <v>254</v>
      </c>
    </row>
    <row r="76" spans="1:17">
      <c r="A76" s="412"/>
      <c r="B76" s="424"/>
      <c r="C76" s="267">
        <v>2221</v>
      </c>
      <c r="D76" s="100">
        <v>0.2</v>
      </c>
      <c r="E76" s="100"/>
      <c r="F76" s="100"/>
      <c r="G76" s="358">
        <f t="shared" si="1"/>
        <v>0.2</v>
      </c>
      <c r="H76" s="358"/>
      <c r="I76" s="358"/>
      <c r="J76" s="358"/>
      <c r="K76" s="284"/>
      <c r="L76" s="358"/>
      <c r="M76" s="284"/>
      <c r="N76" s="447"/>
    </row>
    <row r="77" spans="1:17">
      <c r="A77" s="412"/>
      <c r="B77" s="424"/>
      <c r="C77" s="267">
        <v>3112</v>
      </c>
      <c r="D77" s="100">
        <v>3.7</v>
      </c>
      <c r="E77" s="100"/>
      <c r="F77" s="100"/>
      <c r="G77" s="358">
        <f t="shared" si="1"/>
        <v>3.7</v>
      </c>
      <c r="H77" s="358"/>
      <c r="I77" s="358"/>
      <c r="J77" s="358"/>
      <c r="K77" s="284"/>
      <c r="L77" s="358"/>
      <c r="M77" s="284"/>
      <c r="N77" s="447"/>
    </row>
    <row r="78" spans="1:17" hidden="1">
      <c r="A78" s="412"/>
      <c r="B78" s="424"/>
      <c r="C78" s="267"/>
      <c r="D78" s="100"/>
      <c r="E78" s="100"/>
      <c r="F78" s="100"/>
      <c r="G78" s="358">
        <f t="shared" si="1"/>
        <v>0</v>
      </c>
      <c r="H78" s="358"/>
      <c r="I78" s="358"/>
      <c r="J78" s="358"/>
      <c r="K78" s="284"/>
      <c r="L78" s="358"/>
      <c r="M78" s="284"/>
      <c r="N78" s="272"/>
    </row>
    <row r="79" spans="1:17" hidden="1">
      <c r="A79" s="412"/>
      <c r="B79" s="424"/>
      <c r="C79" s="267"/>
      <c r="D79" s="100"/>
      <c r="E79" s="100"/>
      <c r="F79" s="100"/>
      <c r="G79" s="358">
        <f t="shared" si="1"/>
        <v>0</v>
      </c>
      <c r="H79" s="358"/>
      <c r="I79" s="358"/>
      <c r="J79" s="358"/>
      <c r="K79" s="284"/>
      <c r="L79" s="358"/>
      <c r="M79" s="284"/>
      <c r="N79" s="272"/>
    </row>
    <row r="80" spans="1:17" hidden="1">
      <c r="A80" s="412"/>
      <c r="B80" s="424"/>
      <c r="C80" s="267"/>
      <c r="D80" s="100"/>
      <c r="E80" s="100"/>
      <c r="F80" s="100"/>
      <c r="G80" s="358">
        <f t="shared" si="1"/>
        <v>0</v>
      </c>
      <c r="H80" s="358"/>
      <c r="I80" s="358"/>
      <c r="J80" s="358"/>
      <c r="K80" s="284"/>
      <c r="L80" s="358"/>
      <c r="M80" s="284"/>
      <c r="N80" s="272"/>
    </row>
    <row r="81" spans="1:17" hidden="1">
      <c r="A81" s="412"/>
      <c r="B81" s="424"/>
      <c r="C81" s="267"/>
      <c r="D81" s="100"/>
      <c r="E81" s="100"/>
      <c r="F81" s="100"/>
      <c r="G81" s="358">
        <f t="shared" si="1"/>
        <v>0</v>
      </c>
      <c r="H81" s="358"/>
      <c r="I81" s="358"/>
      <c r="J81" s="358"/>
      <c r="K81" s="284"/>
      <c r="L81" s="358"/>
      <c r="M81" s="284"/>
      <c r="N81" s="272"/>
    </row>
    <row r="82" spans="1:17" hidden="1">
      <c r="A82" s="412"/>
      <c r="B82" s="424"/>
      <c r="C82" s="267"/>
      <c r="D82" s="100"/>
      <c r="E82" s="100"/>
      <c r="F82" s="100"/>
      <c r="G82" s="358">
        <f t="shared" si="1"/>
        <v>0</v>
      </c>
      <c r="H82" s="358"/>
      <c r="I82" s="358"/>
      <c r="J82" s="358"/>
      <c r="K82" s="284"/>
      <c r="L82" s="358"/>
      <c r="M82" s="284"/>
      <c r="N82" s="272"/>
      <c r="O82" s="51"/>
      <c r="P82" s="51"/>
      <c r="Q82" s="122"/>
    </row>
    <row r="83" spans="1:17">
      <c r="A83" s="412">
        <v>16</v>
      </c>
      <c r="B83" s="424" t="s">
        <v>146</v>
      </c>
      <c r="C83" s="267">
        <v>2215</v>
      </c>
      <c r="D83" s="100">
        <v>15</v>
      </c>
      <c r="E83" s="100"/>
      <c r="F83" s="100"/>
      <c r="G83" s="358">
        <f t="shared" si="1"/>
        <v>15</v>
      </c>
      <c r="H83" s="358"/>
      <c r="I83" s="358"/>
      <c r="J83" s="358"/>
      <c r="K83" s="284"/>
      <c r="L83" s="358"/>
      <c r="M83" s="284"/>
      <c r="N83" s="447" t="s">
        <v>254</v>
      </c>
    </row>
    <row r="84" spans="1:17">
      <c r="A84" s="412"/>
      <c r="B84" s="424"/>
      <c r="C84" s="267">
        <v>2221</v>
      </c>
      <c r="D84" s="100">
        <v>0.2</v>
      </c>
      <c r="E84" s="100"/>
      <c r="F84" s="100"/>
      <c r="G84" s="358">
        <f t="shared" si="1"/>
        <v>0.2</v>
      </c>
      <c r="H84" s="358"/>
      <c r="I84" s="358"/>
      <c r="J84" s="358"/>
      <c r="K84" s="284"/>
      <c r="L84" s="358"/>
      <c r="M84" s="284"/>
      <c r="N84" s="447"/>
    </row>
    <row r="85" spans="1:17">
      <c r="A85" s="412"/>
      <c r="B85" s="424"/>
      <c r="C85" s="267">
        <v>2222</v>
      </c>
      <c r="D85" s="100">
        <v>2.1</v>
      </c>
      <c r="E85" s="100"/>
      <c r="F85" s="100"/>
      <c r="G85" s="358">
        <f t="shared" si="1"/>
        <v>2.1</v>
      </c>
      <c r="H85" s="358"/>
      <c r="I85" s="358"/>
      <c r="J85" s="358"/>
      <c r="K85" s="284"/>
      <c r="L85" s="358"/>
      <c r="M85" s="284"/>
      <c r="N85" s="447"/>
    </row>
    <row r="86" spans="1:17">
      <c r="A86" s="412"/>
      <c r="B86" s="424"/>
      <c r="C86" s="267">
        <v>2214</v>
      </c>
      <c r="D86" s="100">
        <v>0.4</v>
      </c>
      <c r="E86" s="100"/>
      <c r="F86" s="100"/>
      <c r="G86" s="358">
        <f t="shared" si="1"/>
        <v>0.4</v>
      </c>
      <c r="H86" s="358"/>
      <c r="I86" s="358"/>
      <c r="J86" s="358"/>
      <c r="K86" s="284"/>
      <c r="L86" s="358"/>
      <c r="M86" s="284"/>
      <c r="N86" s="447"/>
    </row>
    <row r="87" spans="1:17" ht="13.5" thickBot="1">
      <c r="A87" s="413"/>
      <c r="B87" s="427"/>
      <c r="C87" s="268">
        <v>2218</v>
      </c>
      <c r="D87" s="127">
        <v>85.3</v>
      </c>
      <c r="E87" s="127"/>
      <c r="F87" s="127"/>
      <c r="G87" s="361">
        <f t="shared" si="1"/>
        <v>85.3</v>
      </c>
      <c r="H87" s="361"/>
      <c r="I87" s="361"/>
      <c r="J87" s="361"/>
      <c r="K87" s="362"/>
      <c r="L87" s="361"/>
      <c r="M87" s="362"/>
      <c r="N87" s="470"/>
    </row>
    <row r="88" spans="1:17" ht="25.5">
      <c r="A88" s="450">
        <v>17</v>
      </c>
      <c r="B88" s="430" t="s">
        <v>147</v>
      </c>
      <c r="C88" s="270">
        <v>2215</v>
      </c>
      <c r="D88" s="125">
        <v>1.5</v>
      </c>
      <c r="E88" s="125"/>
      <c r="F88" s="125"/>
      <c r="G88" s="359">
        <f t="shared" si="1"/>
        <v>1.5</v>
      </c>
      <c r="H88" s="359"/>
      <c r="I88" s="359"/>
      <c r="J88" s="359"/>
      <c r="K88" s="360"/>
      <c r="L88" s="359"/>
      <c r="M88" s="360"/>
      <c r="N88" s="271" t="s">
        <v>254</v>
      </c>
      <c r="O88" s="51"/>
      <c r="P88" s="51"/>
      <c r="Q88" s="122"/>
    </row>
    <row r="89" spans="1:17" hidden="1">
      <c r="A89" s="412"/>
      <c r="B89" s="424"/>
      <c r="C89" s="267"/>
      <c r="D89" s="100"/>
      <c r="E89" s="100"/>
      <c r="F89" s="100"/>
      <c r="G89" s="358">
        <f t="shared" si="1"/>
        <v>0</v>
      </c>
      <c r="H89" s="358"/>
      <c r="I89" s="358"/>
      <c r="J89" s="358"/>
      <c r="K89" s="284"/>
      <c r="L89" s="358"/>
      <c r="M89" s="284"/>
      <c r="N89" s="272"/>
      <c r="O89" s="51"/>
      <c r="P89" s="51"/>
      <c r="Q89" s="122"/>
    </row>
    <row r="90" spans="1:17" hidden="1">
      <c r="A90" s="412"/>
      <c r="B90" s="424"/>
      <c r="C90" s="267"/>
      <c r="D90" s="100"/>
      <c r="E90" s="100"/>
      <c r="F90" s="100"/>
      <c r="G90" s="358">
        <f t="shared" si="1"/>
        <v>0</v>
      </c>
      <c r="H90" s="358"/>
      <c r="I90" s="358"/>
      <c r="J90" s="358"/>
      <c r="K90" s="284"/>
      <c r="L90" s="358"/>
      <c r="M90" s="284"/>
      <c r="N90" s="272"/>
      <c r="O90" s="51"/>
      <c r="P90" s="51"/>
    </row>
    <row r="91" spans="1:17" ht="25.5">
      <c r="A91" s="267">
        <v>18</v>
      </c>
      <c r="B91" s="269" t="s">
        <v>237</v>
      </c>
      <c r="C91" s="267">
        <v>2222</v>
      </c>
      <c r="D91" s="100">
        <v>3.2</v>
      </c>
      <c r="E91" s="100"/>
      <c r="F91" s="100"/>
      <c r="G91" s="358">
        <f t="shared" si="1"/>
        <v>3.2</v>
      </c>
      <c r="H91" s="358"/>
      <c r="I91" s="358"/>
      <c r="J91" s="358"/>
      <c r="K91" s="284"/>
      <c r="L91" s="358"/>
      <c r="M91" s="284"/>
      <c r="N91" s="272" t="s">
        <v>254</v>
      </c>
      <c r="O91" s="51"/>
      <c r="P91" s="51"/>
    </row>
    <row r="92" spans="1:17" ht="19.149999999999999" customHeight="1">
      <c r="A92" s="412">
        <v>19</v>
      </c>
      <c r="B92" s="459" t="s">
        <v>123</v>
      </c>
      <c r="C92" s="267">
        <v>2111</v>
      </c>
      <c r="D92" s="100"/>
      <c r="E92" s="100"/>
      <c r="F92" s="100"/>
      <c r="G92" s="358"/>
      <c r="H92" s="358">
        <v>145.30000000000001</v>
      </c>
      <c r="I92" s="358"/>
      <c r="J92" s="358"/>
      <c r="K92" s="358"/>
      <c r="L92" s="358"/>
      <c r="M92" s="358">
        <f t="shared" ref="M92:M155" si="2">H92+I92+K92</f>
        <v>145.30000000000001</v>
      </c>
      <c r="N92" s="447" t="s">
        <v>398</v>
      </c>
      <c r="O92" s="51"/>
      <c r="P92" s="51"/>
      <c r="Q92" s="122"/>
    </row>
    <row r="93" spans="1:17" ht="24" customHeight="1">
      <c r="A93" s="412"/>
      <c r="B93" s="459"/>
      <c r="C93" s="267">
        <v>2121</v>
      </c>
      <c r="D93" s="100"/>
      <c r="E93" s="100"/>
      <c r="F93" s="100"/>
      <c r="G93" s="358"/>
      <c r="H93" s="358">
        <v>21.7</v>
      </c>
      <c r="I93" s="358"/>
      <c r="J93" s="358"/>
      <c r="K93" s="358"/>
      <c r="L93" s="358"/>
      <c r="M93" s="358">
        <f t="shared" si="2"/>
        <v>21.7</v>
      </c>
      <c r="N93" s="447"/>
      <c r="O93" s="51"/>
      <c r="P93" s="51"/>
      <c r="Q93" s="122"/>
    </row>
    <row r="94" spans="1:17" ht="25.5">
      <c r="A94" s="412"/>
      <c r="B94" s="459"/>
      <c r="C94" s="267">
        <v>2215</v>
      </c>
      <c r="D94" s="100"/>
      <c r="E94" s="100"/>
      <c r="F94" s="100"/>
      <c r="G94" s="358"/>
      <c r="H94" s="358">
        <v>99</v>
      </c>
      <c r="I94" s="358"/>
      <c r="J94" s="358"/>
      <c r="K94" s="358"/>
      <c r="L94" s="358"/>
      <c r="M94" s="358">
        <f t="shared" si="2"/>
        <v>99</v>
      </c>
      <c r="N94" s="272" t="s">
        <v>435</v>
      </c>
      <c r="O94" s="51"/>
      <c r="P94" s="51"/>
      <c r="Q94" s="122"/>
    </row>
    <row r="95" spans="1:17" ht="25.5">
      <c r="A95" s="412"/>
      <c r="B95" s="459"/>
      <c r="C95" s="267">
        <v>2222</v>
      </c>
      <c r="D95" s="100"/>
      <c r="E95" s="100"/>
      <c r="F95" s="100"/>
      <c r="G95" s="358"/>
      <c r="H95" s="358">
        <v>27.2</v>
      </c>
      <c r="I95" s="358"/>
      <c r="J95" s="358"/>
      <c r="K95" s="358"/>
      <c r="L95" s="358"/>
      <c r="M95" s="358">
        <f t="shared" si="2"/>
        <v>27.2</v>
      </c>
      <c r="N95" s="272" t="s">
        <v>303</v>
      </c>
      <c r="O95" s="51"/>
      <c r="P95" s="51"/>
      <c r="Q95" s="122"/>
    </row>
    <row r="96" spans="1:17">
      <c r="A96" s="412"/>
      <c r="B96" s="459"/>
      <c r="C96" s="267">
        <v>2222</v>
      </c>
      <c r="D96" s="100"/>
      <c r="E96" s="100"/>
      <c r="F96" s="100"/>
      <c r="G96" s="358"/>
      <c r="H96" s="358">
        <v>15</v>
      </c>
      <c r="I96" s="358"/>
      <c r="J96" s="358"/>
      <c r="K96" s="358"/>
      <c r="L96" s="358"/>
      <c r="M96" s="358">
        <f t="shared" si="2"/>
        <v>15</v>
      </c>
      <c r="N96" s="272" t="s">
        <v>252</v>
      </c>
      <c r="O96" s="51"/>
      <c r="P96" s="51"/>
      <c r="Q96" s="122"/>
    </row>
    <row r="97" spans="1:17" ht="25.5">
      <c r="A97" s="412"/>
      <c r="B97" s="459"/>
      <c r="C97" s="267">
        <v>2215</v>
      </c>
      <c r="D97" s="100"/>
      <c r="E97" s="100"/>
      <c r="F97" s="100"/>
      <c r="G97" s="358"/>
      <c r="H97" s="358"/>
      <c r="I97" s="358"/>
      <c r="J97" s="358"/>
      <c r="K97" s="358"/>
      <c r="L97" s="358"/>
      <c r="M97" s="358">
        <v>100</v>
      </c>
      <c r="N97" s="272" t="s">
        <v>403</v>
      </c>
      <c r="O97" s="51"/>
      <c r="P97" s="51"/>
      <c r="Q97" s="122"/>
    </row>
    <row r="98" spans="1:17">
      <c r="A98" s="412">
        <v>20</v>
      </c>
      <c r="B98" s="459" t="s">
        <v>115</v>
      </c>
      <c r="C98" s="267">
        <v>2111</v>
      </c>
      <c r="D98" s="100"/>
      <c r="E98" s="100"/>
      <c r="F98" s="100"/>
      <c r="G98" s="358"/>
      <c r="H98" s="358">
        <v>214.1</v>
      </c>
      <c r="I98" s="358"/>
      <c r="J98" s="358"/>
      <c r="K98" s="358"/>
      <c r="L98" s="358"/>
      <c r="M98" s="358">
        <f t="shared" si="2"/>
        <v>214.1</v>
      </c>
      <c r="N98" s="447" t="s">
        <v>299</v>
      </c>
      <c r="O98" s="51"/>
      <c r="P98" s="51"/>
      <c r="Q98" s="122"/>
    </row>
    <row r="99" spans="1:17" ht="70.150000000000006" customHeight="1">
      <c r="A99" s="412"/>
      <c r="B99" s="459"/>
      <c r="C99" s="267">
        <v>2121</v>
      </c>
      <c r="D99" s="100"/>
      <c r="E99" s="100"/>
      <c r="F99" s="100"/>
      <c r="G99" s="358"/>
      <c r="H99" s="358">
        <v>29.7</v>
      </c>
      <c r="I99" s="358"/>
      <c r="J99" s="358"/>
      <c r="K99" s="358"/>
      <c r="L99" s="358"/>
      <c r="M99" s="358">
        <f t="shared" si="2"/>
        <v>29.7</v>
      </c>
      <c r="N99" s="447"/>
      <c r="O99" s="51"/>
      <c r="P99" s="51"/>
      <c r="Q99" s="122"/>
    </row>
    <row r="100" spans="1:17">
      <c r="A100" s="412"/>
      <c r="B100" s="459"/>
      <c r="C100" s="267">
        <v>2215</v>
      </c>
      <c r="D100" s="100"/>
      <c r="E100" s="100"/>
      <c r="F100" s="100"/>
      <c r="G100" s="358"/>
      <c r="H100" s="358">
        <v>5.5</v>
      </c>
      <c r="I100" s="358"/>
      <c r="J100" s="358"/>
      <c r="K100" s="358"/>
      <c r="L100" s="358"/>
      <c r="M100" s="358">
        <f t="shared" si="2"/>
        <v>5.5</v>
      </c>
      <c r="N100" s="272" t="s">
        <v>258</v>
      </c>
      <c r="O100" s="51"/>
      <c r="P100" s="51"/>
      <c r="Q100" s="122"/>
    </row>
    <row r="101" spans="1:17" s="277" customFormat="1">
      <c r="A101" s="468">
        <v>21</v>
      </c>
      <c r="B101" s="469" t="s">
        <v>149</v>
      </c>
      <c r="C101" s="404">
        <v>2215</v>
      </c>
      <c r="D101" s="281"/>
      <c r="E101" s="281"/>
      <c r="F101" s="281"/>
      <c r="G101" s="358"/>
      <c r="H101" s="358"/>
      <c r="I101" s="358"/>
      <c r="J101" s="358"/>
      <c r="K101" s="284">
        <v>300</v>
      </c>
      <c r="L101" s="358"/>
      <c r="M101" s="358">
        <f t="shared" si="2"/>
        <v>300</v>
      </c>
      <c r="N101" s="298" t="s">
        <v>404</v>
      </c>
      <c r="Q101" s="407"/>
    </row>
    <row r="102" spans="1:17" s="277" customFormat="1" ht="25.5">
      <c r="A102" s="468"/>
      <c r="B102" s="469"/>
      <c r="C102" s="404">
        <v>2215</v>
      </c>
      <c r="D102" s="281"/>
      <c r="E102" s="281"/>
      <c r="F102" s="281"/>
      <c r="G102" s="358"/>
      <c r="H102" s="358"/>
      <c r="I102" s="358"/>
      <c r="J102" s="358"/>
      <c r="K102" s="284"/>
      <c r="L102" s="358"/>
      <c r="M102" s="358">
        <v>200</v>
      </c>
      <c r="N102" s="298" t="s">
        <v>429</v>
      </c>
      <c r="Q102" s="407"/>
    </row>
    <row r="103" spans="1:17" s="277" customFormat="1">
      <c r="A103" s="468"/>
      <c r="B103" s="469"/>
      <c r="C103" s="404">
        <v>3122</v>
      </c>
      <c r="D103" s="281"/>
      <c r="E103" s="281"/>
      <c r="F103" s="281"/>
      <c r="G103" s="358"/>
      <c r="H103" s="358"/>
      <c r="I103" s="358"/>
      <c r="J103" s="358"/>
      <c r="K103" s="284"/>
      <c r="L103" s="358"/>
      <c r="M103" s="358">
        <v>1666</v>
      </c>
      <c r="N103" s="298" t="s">
        <v>355</v>
      </c>
      <c r="Q103" s="408"/>
    </row>
    <row r="104" spans="1:17" s="277" customFormat="1">
      <c r="A104" s="468"/>
      <c r="B104" s="469"/>
      <c r="C104" s="404">
        <v>2221</v>
      </c>
      <c r="D104" s="281"/>
      <c r="E104" s="281"/>
      <c r="F104" s="281"/>
      <c r="G104" s="358"/>
      <c r="H104" s="358"/>
      <c r="I104" s="358"/>
      <c r="J104" s="358"/>
      <c r="K104" s="284"/>
      <c r="L104" s="358"/>
      <c r="M104" s="358">
        <v>300</v>
      </c>
      <c r="N104" s="298" t="s">
        <v>346</v>
      </c>
      <c r="Q104" s="407"/>
    </row>
    <row r="105" spans="1:17" s="277" customFormat="1" ht="25.5">
      <c r="A105" s="468"/>
      <c r="B105" s="469"/>
      <c r="C105" s="404">
        <v>2221</v>
      </c>
      <c r="D105" s="281"/>
      <c r="E105" s="281"/>
      <c r="F105" s="281"/>
      <c r="G105" s="358"/>
      <c r="H105" s="358"/>
      <c r="I105" s="358"/>
      <c r="J105" s="358"/>
      <c r="K105" s="284"/>
      <c r="L105" s="358"/>
      <c r="M105" s="358">
        <v>200</v>
      </c>
      <c r="N105" s="298" t="s">
        <v>431</v>
      </c>
      <c r="Q105" s="407"/>
    </row>
    <row r="106" spans="1:17" s="277" customFormat="1">
      <c r="A106" s="468"/>
      <c r="B106" s="469"/>
      <c r="C106" s="404">
        <v>2222</v>
      </c>
      <c r="D106" s="281"/>
      <c r="E106" s="281"/>
      <c r="F106" s="281"/>
      <c r="G106" s="358"/>
      <c r="H106" s="358"/>
      <c r="I106" s="358"/>
      <c r="J106" s="358"/>
      <c r="K106" s="284"/>
      <c r="L106" s="358"/>
      <c r="M106" s="358">
        <v>34</v>
      </c>
      <c r="N106" s="298" t="s">
        <v>430</v>
      </c>
      <c r="Q106" s="407"/>
    </row>
    <row r="107" spans="1:17" s="277" customFormat="1" ht="25.5">
      <c r="A107" s="468"/>
      <c r="B107" s="469"/>
      <c r="C107" s="404">
        <v>3122</v>
      </c>
      <c r="D107" s="281"/>
      <c r="E107" s="281"/>
      <c r="F107" s="281"/>
      <c r="G107" s="358"/>
      <c r="H107" s="358"/>
      <c r="I107" s="358"/>
      <c r="J107" s="358"/>
      <c r="K107" s="284"/>
      <c r="L107" s="358"/>
      <c r="M107" s="358">
        <v>250</v>
      </c>
      <c r="N107" s="298" t="s">
        <v>428</v>
      </c>
      <c r="Q107" s="407"/>
    </row>
    <row r="108" spans="1:17" s="277" customFormat="1">
      <c r="A108" s="468"/>
      <c r="B108" s="469"/>
      <c r="C108" s="404">
        <v>3122</v>
      </c>
      <c r="D108" s="281"/>
      <c r="E108" s="281"/>
      <c r="F108" s="281"/>
      <c r="G108" s="358"/>
      <c r="H108" s="358"/>
      <c r="I108" s="358"/>
      <c r="J108" s="358"/>
      <c r="K108" s="284"/>
      <c r="L108" s="358"/>
      <c r="M108" s="358">
        <v>300</v>
      </c>
      <c r="N108" s="298" t="s">
        <v>348</v>
      </c>
      <c r="Q108" s="407"/>
    </row>
    <row r="109" spans="1:17">
      <c r="A109" s="412">
        <v>22</v>
      </c>
      <c r="B109" s="424" t="s">
        <v>16</v>
      </c>
      <c r="C109" s="267">
        <v>3111</v>
      </c>
      <c r="D109" s="100"/>
      <c r="E109" s="100"/>
      <c r="F109" s="100"/>
      <c r="G109" s="358"/>
      <c r="H109" s="358">
        <f>5129.3-363.2</f>
        <v>4766.1000000000004</v>
      </c>
      <c r="I109" s="358"/>
      <c r="J109" s="358"/>
      <c r="K109" s="284"/>
      <c r="L109" s="358"/>
      <c r="M109" s="358">
        <f t="shared" ref="M109:M143" si="3">H109+I109+K109</f>
        <v>4766.1000000000004</v>
      </c>
      <c r="N109" s="272" t="s">
        <v>271</v>
      </c>
      <c r="O109" s="51"/>
      <c r="P109" s="51"/>
      <c r="Q109" s="122"/>
    </row>
    <row r="110" spans="1:17" ht="38.25">
      <c r="A110" s="412"/>
      <c r="B110" s="424"/>
      <c r="C110" s="267">
        <v>3111</v>
      </c>
      <c r="D110" s="100"/>
      <c r="E110" s="100"/>
      <c r="F110" s="100"/>
      <c r="G110" s="358"/>
      <c r="H110" s="358"/>
      <c r="I110" s="358"/>
      <c r="J110" s="358"/>
      <c r="K110" s="284">
        <v>2965.2</v>
      </c>
      <c r="L110" s="358"/>
      <c r="M110" s="358">
        <f t="shared" si="3"/>
        <v>2965.2</v>
      </c>
      <c r="N110" s="272" t="s">
        <v>300</v>
      </c>
      <c r="O110" s="51"/>
      <c r="P110" s="51"/>
      <c r="Q110" s="122"/>
    </row>
    <row r="111" spans="1:17">
      <c r="A111" s="412"/>
      <c r="B111" s="424"/>
      <c r="C111" s="267">
        <v>2215</v>
      </c>
      <c r="D111" s="100"/>
      <c r="E111" s="100"/>
      <c r="F111" s="100"/>
      <c r="G111" s="358"/>
      <c r="H111" s="358"/>
      <c r="I111" s="358"/>
      <c r="J111" s="358"/>
      <c r="K111" s="284"/>
      <c r="L111" s="358"/>
      <c r="M111" s="358">
        <f>5000</f>
        <v>5000</v>
      </c>
      <c r="N111" s="272" t="s">
        <v>400</v>
      </c>
      <c r="O111" s="51"/>
      <c r="P111" s="51"/>
      <c r="Q111" s="122"/>
    </row>
    <row r="112" spans="1:17" ht="18.600000000000001" customHeight="1">
      <c r="A112" s="428">
        <v>23</v>
      </c>
      <c r="B112" s="458" t="s">
        <v>17</v>
      </c>
      <c r="C112" s="267">
        <v>2222</v>
      </c>
      <c r="D112" s="100"/>
      <c r="E112" s="100"/>
      <c r="F112" s="100"/>
      <c r="G112" s="358"/>
      <c r="H112" s="358">
        <v>150</v>
      </c>
      <c r="I112" s="358"/>
      <c r="J112" s="358"/>
      <c r="K112" s="358"/>
      <c r="L112" s="358"/>
      <c r="M112" s="358">
        <v>80.400000000000006</v>
      </c>
      <c r="N112" s="272" t="s">
        <v>239</v>
      </c>
      <c r="O112" s="51"/>
      <c r="P112" s="51"/>
      <c r="Q112" s="122"/>
    </row>
    <row r="113" spans="1:17">
      <c r="A113" s="418"/>
      <c r="B113" s="456"/>
      <c r="C113" s="267">
        <v>2222</v>
      </c>
      <c r="D113" s="100"/>
      <c r="E113" s="100"/>
      <c r="F113" s="100"/>
      <c r="G113" s="358"/>
      <c r="H113" s="358"/>
      <c r="I113" s="358"/>
      <c r="J113" s="358"/>
      <c r="K113" s="358"/>
      <c r="L113" s="358"/>
      <c r="M113" s="358">
        <v>69.599999999999994</v>
      </c>
      <c r="N113" s="272" t="s">
        <v>304</v>
      </c>
      <c r="O113" s="51"/>
      <c r="P113" s="51"/>
      <c r="Q113" s="122"/>
    </row>
    <row r="114" spans="1:17" ht="38.25">
      <c r="A114" s="450"/>
      <c r="B114" s="457"/>
      <c r="C114" s="299">
        <v>3112</v>
      </c>
      <c r="D114" s="100"/>
      <c r="E114" s="100"/>
      <c r="F114" s="100"/>
      <c r="G114" s="358"/>
      <c r="H114" s="358"/>
      <c r="I114" s="358"/>
      <c r="J114" s="358"/>
      <c r="K114" s="284">
        <v>5500</v>
      </c>
      <c r="L114" s="358"/>
      <c r="M114" s="358">
        <f>H114+I114+K114</f>
        <v>5500</v>
      </c>
      <c r="N114" s="300" t="s">
        <v>399</v>
      </c>
      <c r="O114" s="51"/>
      <c r="P114" s="51"/>
      <c r="Q114" s="122"/>
    </row>
    <row r="115" spans="1:17">
      <c r="A115" s="412">
        <v>24</v>
      </c>
      <c r="B115" s="424" t="s">
        <v>18</v>
      </c>
      <c r="C115" s="267">
        <v>2111</v>
      </c>
      <c r="D115" s="100"/>
      <c r="E115" s="100"/>
      <c r="F115" s="100"/>
      <c r="G115" s="358"/>
      <c r="H115" s="358">
        <v>99.7</v>
      </c>
      <c r="I115" s="358"/>
      <c r="J115" s="358"/>
      <c r="K115" s="284"/>
      <c r="L115" s="358"/>
      <c r="M115" s="358">
        <f t="shared" si="3"/>
        <v>99.7</v>
      </c>
      <c r="N115" s="447" t="s">
        <v>305</v>
      </c>
      <c r="O115" s="51"/>
      <c r="P115" s="51"/>
      <c r="Q115" s="122"/>
    </row>
    <row r="116" spans="1:17">
      <c r="A116" s="412"/>
      <c r="B116" s="424"/>
      <c r="C116" s="267">
        <v>2121</v>
      </c>
      <c r="D116" s="100"/>
      <c r="E116" s="100"/>
      <c r="F116" s="100"/>
      <c r="G116" s="358"/>
      <c r="H116" s="358">
        <v>17.2</v>
      </c>
      <c r="I116" s="358"/>
      <c r="J116" s="358"/>
      <c r="K116" s="284"/>
      <c r="L116" s="358"/>
      <c r="M116" s="358">
        <f t="shared" si="3"/>
        <v>17.2</v>
      </c>
      <c r="N116" s="447"/>
      <c r="O116" s="51"/>
      <c r="P116" s="51"/>
      <c r="Q116" s="122"/>
    </row>
    <row r="117" spans="1:17">
      <c r="A117" s="412"/>
      <c r="B117" s="424"/>
      <c r="C117" s="267">
        <v>2214</v>
      </c>
      <c r="D117" s="100"/>
      <c r="E117" s="100"/>
      <c r="F117" s="100"/>
      <c r="G117" s="358"/>
      <c r="H117" s="358">
        <v>745</v>
      </c>
      <c r="I117" s="358"/>
      <c r="J117" s="358"/>
      <c r="K117" s="284"/>
      <c r="L117" s="358"/>
      <c r="M117" s="358">
        <v>50</v>
      </c>
      <c r="N117" s="402" t="s">
        <v>342</v>
      </c>
      <c r="O117" s="51"/>
      <c r="P117" s="51"/>
      <c r="Q117" s="122"/>
    </row>
    <row r="118" spans="1:17" ht="25.5">
      <c r="A118" s="412"/>
      <c r="B118" s="424"/>
      <c r="C118" s="401">
        <v>2222</v>
      </c>
      <c r="D118" s="100"/>
      <c r="E118" s="100"/>
      <c r="F118" s="100"/>
      <c r="G118" s="358"/>
      <c r="H118" s="358">
        <v>745</v>
      </c>
      <c r="I118" s="358"/>
      <c r="J118" s="358"/>
      <c r="K118" s="284"/>
      <c r="L118" s="358"/>
      <c r="M118" s="358">
        <f t="shared" ref="M118:M119" si="4">H118+I118+K118</f>
        <v>745</v>
      </c>
      <c r="N118" s="402" t="s">
        <v>243</v>
      </c>
      <c r="O118" s="51"/>
      <c r="P118" s="51"/>
      <c r="Q118" s="122"/>
    </row>
    <row r="119" spans="1:17" ht="25.5">
      <c r="A119" s="412"/>
      <c r="B119" s="424"/>
      <c r="C119" s="401">
        <v>3113</v>
      </c>
      <c r="D119" s="100"/>
      <c r="E119" s="100"/>
      <c r="F119" s="100"/>
      <c r="G119" s="358"/>
      <c r="H119" s="358">
        <v>119</v>
      </c>
      <c r="I119" s="358"/>
      <c r="J119" s="358"/>
      <c r="K119" s="284"/>
      <c r="L119" s="358"/>
      <c r="M119" s="358">
        <f t="shared" si="4"/>
        <v>119</v>
      </c>
      <c r="N119" s="402" t="s">
        <v>244</v>
      </c>
      <c r="O119" s="51"/>
      <c r="P119" s="51"/>
      <c r="Q119" s="122"/>
    </row>
    <row r="120" spans="1:17" ht="15" customHeight="1">
      <c r="A120" s="412">
        <v>25</v>
      </c>
      <c r="B120" s="424" t="s">
        <v>150</v>
      </c>
      <c r="C120" s="267">
        <v>2511</v>
      </c>
      <c r="D120" s="100"/>
      <c r="E120" s="100"/>
      <c r="F120" s="100"/>
      <c r="G120" s="358"/>
      <c r="H120" s="358">
        <v>2500</v>
      </c>
      <c r="I120" s="358"/>
      <c r="J120" s="358"/>
      <c r="K120" s="284"/>
      <c r="L120" s="358"/>
      <c r="M120" s="358">
        <f t="shared" si="3"/>
        <v>2500</v>
      </c>
      <c r="N120" s="272" t="s">
        <v>245</v>
      </c>
      <c r="O120" s="51"/>
      <c r="P120" s="51"/>
      <c r="Q120" s="122"/>
    </row>
    <row r="121" spans="1:17" ht="25.5">
      <c r="A121" s="412"/>
      <c r="B121" s="424"/>
      <c r="C121" s="267">
        <v>2511</v>
      </c>
      <c r="D121" s="100"/>
      <c r="E121" s="100"/>
      <c r="F121" s="100"/>
      <c r="G121" s="358"/>
      <c r="H121" s="358"/>
      <c r="I121" s="358"/>
      <c r="J121" s="358"/>
      <c r="K121" s="284"/>
      <c r="L121" s="358"/>
      <c r="M121" s="358">
        <v>700</v>
      </c>
      <c r="N121" s="272" t="s">
        <v>352</v>
      </c>
      <c r="O121" s="51"/>
      <c r="P121" s="51"/>
      <c r="Q121" s="122"/>
    </row>
    <row r="122" spans="1:17" ht="25.5">
      <c r="A122" s="412"/>
      <c r="B122" s="424"/>
      <c r="C122" s="399">
        <v>2511</v>
      </c>
      <c r="D122" s="100"/>
      <c r="E122" s="100"/>
      <c r="F122" s="100"/>
      <c r="G122" s="358"/>
      <c r="H122" s="358"/>
      <c r="I122" s="358"/>
      <c r="J122" s="358"/>
      <c r="K122" s="284"/>
      <c r="L122" s="358"/>
      <c r="M122" s="358">
        <v>200</v>
      </c>
      <c r="N122" s="400" t="s">
        <v>432</v>
      </c>
      <c r="O122" s="51"/>
      <c r="P122" s="51"/>
      <c r="Q122" s="122"/>
    </row>
    <row r="123" spans="1:17" ht="25.5">
      <c r="A123" s="412"/>
      <c r="B123" s="424"/>
      <c r="C123" s="267">
        <v>2511</v>
      </c>
      <c r="D123" s="100"/>
      <c r="E123" s="100"/>
      <c r="F123" s="100"/>
      <c r="G123" s="358"/>
      <c r="H123" s="358"/>
      <c r="I123" s="358"/>
      <c r="J123" s="358"/>
      <c r="K123" s="284"/>
      <c r="L123" s="358"/>
      <c r="M123" s="358">
        <v>300</v>
      </c>
      <c r="N123" s="272" t="s">
        <v>350</v>
      </c>
      <c r="O123" s="51"/>
      <c r="P123" s="51"/>
      <c r="Q123" s="122"/>
    </row>
    <row r="124" spans="1:17" ht="25.5">
      <c r="A124" s="412"/>
      <c r="B124" s="424"/>
      <c r="C124" s="267">
        <v>2511</v>
      </c>
      <c r="D124" s="100"/>
      <c r="E124" s="100"/>
      <c r="F124" s="100"/>
      <c r="G124" s="358"/>
      <c r="H124" s="358"/>
      <c r="I124" s="358"/>
      <c r="J124" s="358"/>
      <c r="K124" s="284"/>
      <c r="L124" s="358"/>
      <c r="M124" s="358">
        <v>700</v>
      </c>
      <c r="N124" s="272" t="s">
        <v>353</v>
      </c>
      <c r="O124" s="51"/>
      <c r="P124" s="51"/>
      <c r="Q124" s="122"/>
    </row>
    <row r="125" spans="1:17">
      <c r="A125" s="412">
        <v>26</v>
      </c>
      <c r="B125" s="424" t="s">
        <v>28</v>
      </c>
      <c r="C125" s="267">
        <v>3141</v>
      </c>
      <c r="D125" s="100"/>
      <c r="E125" s="100"/>
      <c r="F125" s="100"/>
      <c r="G125" s="358"/>
      <c r="H125" s="358">
        <v>24000</v>
      </c>
      <c r="I125" s="358"/>
      <c r="J125" s="358"/>
      <c r="K125" s="284"/>
      <c r="L125" s="358"/>
      <c r="M125" s="358">
        <f>15000-583.9</f>
        <v>14416.1</v>
      </c>
      <c r="N125" s="447" t="s">
        <v>323</v>
      </c>
      <c r="O125" s="51"/>
      <c r="P125" s="51"/>
      <c r="Q125" s="122"/>
    </row>
    <row r="126" spans="1:17">
      <c r="A126" s="412"/>
      <c r="B126" s="424"/>
      <c r="C126" s="267">
        <v>2215</v>
      </c>
      <c r="D126" s="100"/>
      <c r="E126" s="100"/>
      <c r="F126" s="100"/>
      <c r="G126" s="358"/>
      <c r="H126" s="358">
        <v>16000</v>
      </c>
      <c r="I126" s="358"/>
      <c r="J126" s="358"/>
      <c r="K126" s="284"/>
      <c r="L126" s="358"/>
      <c r="M126" s="358">
        <v>10000</v>
      </c>
      <c r="N126" s="447"/>
      <c r="O126" s="51"/>
      <c r="P126" s="51"/>
      <c r="Q126" s="122"/>
    </row>
    <row r="127" spans="1:17" ht="25.5">
      <c r="A127" s="412"/>
      <c r="B127" s="424"/>
      <c r="C127" s="267">
        <v>2215</v>
      </c>
      <c r="D127" s="100"/>
      <c r="E127" s="100"/>
      <c r="F127" s="100"/>
      <c r="G127" s="358"/>
      <c r="H127" s="358">
        <v>100</v>
      </c>
      <c r="I127" s="358"/>
      <c r="J127" s="358"/>
      <c r="K127" s="284"/>
      <c r="L127" s="358"/>
      <c r="M127" s="358">
        <v>94</v>
      </c>
      <c r="N127" s="272" t="s">
        <v>242</v>
      </c>
      <c r="O127" s="51"/>
      <c r="P127" s="51"/>
      <c r="Q127" s="122"/>
    </row>
    <row r="128" spans="1:17">
      <c r="A128" s="412"/>
      <c r="B128" s="424"/>
      <c r="C128" s="401">
        <v>2215</v>
      </c>
      <c r="D128" s="100"/>
      <c r="E128" s="100"/>
      <c r="F128" s="100"/>
      <c r="G128" s="358"/>
      <c r="H128" s="358"/>
      <c r="I128" s="358"/>
      <c r="J128" s="358"/>
      <c r="K128" s="284"/>
      <c r="L128" s="358"/>
      <c r="M128" s="358">
        <v>6</v>
      </c>
      <c r="N128" s="402" t="s">
        <v>258</v>
      </c>
      <c r="O128" s="51"/>
      <c r="P128" s="51"/>
      <c r="Q128" s="122"/>
    </row>
    <row r="129" spans="1:17">
      <c r="A129" s="412"/>
      <c r="B129" s="424"/>
      <c r="C129" s="267">
        <v>2215</v>
      </c>
      <c r="D129" s="100"/>
      <c r="E129" s="100"/>
      <c r="F129" s="100"/>
      <c r="G129" s="358"/>
      <c r="H129" s="358"/>
      <c r="I129" s="358">
        <v>194.6</v>
      </c>
      <c r="J129" s="358"/>
      <c r="K129" s="284"/>
      <c r="L129" s="358"/>
      <c r="M129" s="358">
        <f t="shared" si="3"/>
        <v>194.6</v>
      </c>
      <c r="N129" s="272" t="s">
        <v>275</v>
      </c>
      <c r="O129" s="51"/>
      <c r="P129" s="51"/>
      <c r="Q129" s="122"/>
    </row>
    <row r="130" spans="1:17">
      <c r="A130" s="412">
        <v>27</v>
      </c>
      <c r="B130" s="424" t="s">
        <v>237</v>
      </c>
      <c r="C130" s="267">
        <v>2212</v>
      </c>
      <c r="D130" s="100"/>
      <c r="E130" s="100"/>
      <c r="F130" s="100"/>
      <c r="G130" s="358"/>
      <c r="H130" s="358">
        <v>12</v>
      </c>
      <c r="I130" s="358"/>
      <c r="J130" s="358"/>
      <c r="K130" s="284"/>
      <c r="L130" s="358"/>
      <c r="M130" s="358">
        <f t="shared" si="3"/>
        <v>12</v>
      </c>
      <c r="N130" s="272" t="s">
        <v>264</v>
      </c>
      <c r="O130" s="51"/>
      <c r="P130" s="51"/>
      <c r="Q130" s="122"/>
    </row>
    <row r="131" spans="1:17">
      <c r="A131" s="412"/>
      <c r="B131" s="424"/>
      <c r="C131" s="267">
        <v>2215</v>
      </c>
      <c r="D131" s="100"/>
      <c r="E131" s="100"/>
      <c r="F131" s="100"/>
      <c r="G131" s="358"/>
      <c r="H131" s="358">
        <v>6.4</v>
      </c>
      <c r="I131" s="358"/>
      <c r="J131" s="358"/>
      <c r="K131" s="284"/>
      <c r="L131" s="358"/>
      <c r="M131" s="358">
        <f t="shared" si="3"/>
        <v>6.4</v>
      </c>
      <c r="N131" s="272" t="s">
        <v>258</v>
      </c>
      <c r="O131" s="51"/>
      <c r="P131" s="51"/>
      <c r="Q131" s="122"/>
    </row>
    <row r="132" spans="1:17" ht="25.5">
      <c r="A132" s="412"/>
      <c r="B132" s="424"/>
      <c r="C132" s="267">
        <v>2215</v>
      </c>
      <c r="D132" s="100"/>
      <c r="E132" s="100"/>
      <c r="F132" s="100"/>
      <c r="G132" s="358"/>
      <c r="H132" s="358">
        <v>120</v>
      </c>
      <c r="I132" s="358"/>
      <c r="J132" s="358"/>
      <c r="K132" s="284"/>
      <c r="L132" s="358"/>
      <c r="M132" s="358">
        <f t="shared" si="3"/>
        <v>120</v>
      </c>
      <c r="N132" s="272" t="s">
        <v>265</v>
      </c>
      <c r="O132" s="51"/>
      <c r="P132" s="51"/>
      <c r="Q132" s="122"/>
    </row>
    <row r="133" spans="1:17">
      <c r="A133" s="412"/>
      <c r="B133" s="424"/>
      <c r="C133" s="267">
        <v>2215</v>
      </c>
      <c r="D133" s="100"/>
      <c r="E133" s="100"/>
      <c r="F133" s="100"/>
      <c r="G133" s="358"/>
      <c r="H133" s="358">
        <v>5</v>
      </c>
      <c r="I133" s="358"/>
      <c r="J133" s="358"/>
      <c r="K133" s="284"/>
      <c r="L133" s="358"/>
      <c r="M133" s="358">
        <f t="shared" si="3"/>
        <v>5</v>
      </c>
      <c r="N133" s="272" t="s">
        <v>266</v>
      </c>
      <c r="O133" s="51"/>
      <c r="P133" s="51"/>
      <c r="Q133" s="122"/>
    </row>
    <row r="134" spans="1:17">
      <c r="A134" s="412"/>
      <c r="B134" s="424"/>
      <c r="C134" s="267">
        <v>2222</v>
      </c>
      <c r="D134" s="100"/>
      <c r="E134" s="100"/>
      <c r="F134" s="100"/>
      <c r="G134" s="358"/>
      <c r="H134" s="358">
        <v>72</v>
      </c>
      <c r="I134" s="358"/>
      <c r="J134" s="358"/>
      <c r="K134" s="284"/>
      <c r="L134" s="358"/>
      <c r="M134" s="358">
        <f t="shared" si="3"/>
        <v>72</v>
      </c>
      <c r="N134" s="272" t="s">
        <v>267</v>
      </c>
      <c r="O134" s="51"/>
      <c r="P134" s="51"/>
      <c r="Q134" s="122"/>
    </row>
    <row r="135" spans="1:17">
      <c r="A135" s="412"/>
      <c r="B135" s="424"/>
      <c r="C135" s="267">
        <v>2222</v>
      </c>
      <c r="D135" s="100"/>
      <c r="E135" s="100"/>
      <c r="F135" s="100"/>
      <c r="G135" s="358"/>
      <c r="H135" s="358">
        <v>9</v>
      </c>
      <c r="I135" s="358"/>
      <c r="J135" s="358"/>
      <c r="K135" s="284"/>
      <c r="L135" s="358"/>
      <c r="M135" s="358">
        <f t="shared" si="3"/>
        <v>9</v>
      </c>
      <c r="N135" s="272" t="s">
        <v>268</v>
      </c>
      <c r="O135" s="51"/>
      <c r="P135" s="51"/>
      <c r="Q135" s="122"/>
    </row>
    <row r="136" spans="1:17" ht="25.5">
      <c r="A136" s="412"/>
      <c r="B136" s="424"/>
      <c r="C136" s="267">
        <v>2222</v>
      </c>
      <c r="D136" s="100"/>
      <c r="E136" s="100"/>
      <c r="F136" s="100"/>
      <c r="G136" s="358"/>
      <c r="H136" s="358">
        <v>19.2</v>
      </c>
      <c r="I136" s="358"/>
      <c r="J136" s="358"/>
      <c r="K136" s="284"/>
      <c r="L136" s="358"/>
      <c r="M136" s="358">
        <f t="shared" si="3"/>
        <v>19.2</v>
      </c>
      <c r="N136" s="272" t="s">
        <v>269</v>
      </c>
      <c r="O136" s="51"/>
      <c r="P136" s="51"/>
      <c r="Q136" s="122"/>
    </row>
    <row r="137" spans="1:17" ht="25.5">
      <c r="A137" s="412"/>
      <c r="B137" s="424"/>
      <c r="C137" s="267">
        <v>2222</v>
      </c>
      <c r="D137" s="100"/>
      <c r="E137" s="100"/>
      <c r="F137" s="100"/>
      <c r="G137" s="358"/>
      <c r="H137" s="358">
        <v>19.5</v>
      </c>
      <c r="I137" s="358"/>
      <c r="J137" s="358"/>
      <c r="K137" s="284"/>
      <c r="L137" s="358"/>
      <c r="M137" s="358">
        <f t="shared" si="3"/>
        <v>19.5</v>
      </c>
      <c r="N137" s="272" t="s">
        <v>270</v>
      </c>
      <c r="O137" s="51"/>
      <c r="P137" s="51"/>
      <c r="Q137" s="122"/>
    </row>
    <row r="138" spans="1:17">
      <c r="A138" s="412"/>
      <c r="B138" s="424"/>
      <c r="C138" s="267">
        <v>3112</v>
      </c>
      <c r="D138" s="100"/>
      <c r="E138" s="100"/>
      <c r="F138" s="100"/>
      <c r="G138" s="358"/>
      <c r="H138" s="358">
        <v>53</v>
      </c>
      <c r="I138" s="358"/>
      <c r="J138" s="358"/>
      <c r="K138" s="284"/>
      <c r="L138" s="358"/>
      <c r="M138" s="358">
        <f t="shared" si="3"/>
        <v>53</v>
      </c>
      <c r="N138" s="272" t="s">
        <v>246</v>
      </c>
      <c r="O138" s="51"/>
      <c r="P138" s="51"/>
      <c r="Q138" s="122"/>
    </row>
    <row r="139" spans="1:17">
      <c r="A139" s="412">
        <v>28</v>
      </c>
      <c r="B139" s="424" t="s">
        <v>139</v>
      </c>
      <c r="C139" s="267">
        <v>2111</v>
      </c>
      <c r="D139" s="100"/>
      <c r="E139" s="100"/>
      <c r="F139" s="100"/>
      <c r="G139" s="358"/>
      <c r="H139" s="358"/>
      <c r="I139" s="358"/>
      <c r="J139" s="358"/>
      <c r="K139" s="284"/>
      <c r="L139" s="358"/>
      <c r="M139" s="358">
        <v>306.7</v>
      </c>
      <c r="N139" s="447" t="s">
        <v>401</v>
      </c>
      <c r="O139" s="51"/>
      <c r="P139" s="51"/>
      <c r="Q139" s="122"/>
    </row>
    <row r="140" spans="1:17">
      <c r="A140" s="412"/>
      <c r="B140" s="424"/>
      <c r="C140" s="267">
        <v>2121</v>
      </c>
      <c r="D140" s="100"/>
      <c r="E140" s="100"/>
      <c r="F140" s="100"/>
      <c r="G140" s="358"/>
      <c r="H140" s="358"/>
      <c r="I140" s="358"/>
      <c r="J140" s="358"/>
      <c r="K140" s="284"/>
      <c r="L140" s="358"/>
      <c r="M140" s="358">
        <v>47.5</v>
      </c>
      <c r="N140" s="447"/>
      <c r="O140" s="51"/>
      <c r="P140" s="51"/>
      <c r="Q140" s="122"/>
    </row>
    <row r="141" spans="1:17">
      <c r="A141" s="412"/>
      <c r="B141" s="424"/>
      <c r="C141" s="267">
        <v>2215</v>
      </c>
      <c r="D141" s="100"/>
      <c r="E141" s="100"/>
      <c r="F141" s="100"/>
      <c r="G141" s="358"/>
      <c r="H141" s="358">
        <v>6</v>
      </c>
      <c r="I141" s="358"/>
      <c r="J141" s="358"/>
      <c r="K141" s="284"/>
      <c r="L141" s="358"/>
      <c r="M141" s="358">
        <f t="shared" si="3"/>
        <v>6</v>
      </c>
      <c r="N141" s="272" t="s">
        <v>258</v>
      </c>
      <c r="O141" s="51"/>
      <c r="P141" s="51"/>
      <c r="Q141" s="122"/>
    </row>
    <row r="142" spans="1:17" s="277" customFormat="1" ht="29.25" customHeight="1">
      <c r="A142" s="462">
        <v>29</v>
      </c>
      <c r="B142" s="465" t="s">
        <v>20</v>
      </c>
      <c r="C142" s="404">
        <v>2215</v>
      </c>
      <c r="D142" s="281"/>
      <c r="E142" s="281"/>
      <c r="F142" s="281"/>
      <c r="G142" s="358"/>
      <c r="H142" s="358">
        <v>5.2</v>
      </c>
      <c r="I142" s="358"/>
      <c r="J142" s="358"/>
      <c r="K142" s="284"/>
      <c r="L142" s="358"/>
      <c r="M142" s="358">
        <f>H142+I142+K142+5.5</f>
        <v>10.7</v>
      </c>
      <c r="N142" s="298" t="s">
        <v>425</v>
      </c>
      <c r="O142" s="405"/>
      <c r="P142" s="405"/>
      <c r="Q142" s="406"/>
    </row>
    <row r="143" spans="1:17" s="277" customFormat="1">
      <c r="A143" s="463"/>
      <c r="B143" s="466"/>
      <c r="C143" s="404">
        <v>2231</v>
      </c>
      <c r="D143" s="281"/>
      <c r="E143" s="281"/>
      <c r="F143" s="281"/>
      <c r="G143" s="358"/>
      <c r="H143" s="358">
        <v>5</v>
      </c>
      <c r="I143" s="358"/>
      <c r="J143" s="358"/>
      <c r="K143" s="284"/>
      <c r="L143" s="358"/>
      <c r="M143" s="358">
        <f t="shared" si="3"/>
        <v>5</v>
      </c>
      <c r="N143" s="298" t="s">
        <v>241</v>
      </c>
      <c r="O143" s="405"/>
      <c r="P143" s="405"/>
      <c r="Q143" s="406"/>
    </row>
    <row r="144" spans="1:17" s="277" customFormat="1">
      <c r="A144" s="463"/>
      <c r="B144" s="466"/>
      <c r="C144" s="404">
        <v>2222</v>
      </c>
      <c r="D144" s="281"/>
      <c r="E144" s="281"/>
      <c r="F144" s="281"/>
      <c r="G144" s="358"/>
      <c r="H144" s="358"/>
      <c r="I144" s="358"/>
      <c r="J144" s="358"/>
      <c r="K144" s="284">
        <v>150</v>
      </c>
      <c r="L144" s="358"/>
      <c r="M144" s="358">
        <v>10</v>
      </c>
      <c r="N144" s="298" t="s">
        <v>402</v>
      </c>
      <c r="O144" s="405"/>
      <c r="P144" s="405"/>
      <c r="Q144" s="407"/>
    </row>
    <row r="145" spans="1:17" s="277" customFormat="1">
      <c r="A145" s="464"/>
      <c r="B145" s="467"/>
      <c r="C145" s="404">
        <v>3112</v>
      </c>
      <c r="D145" s="281"/>
      <c r="E145" s="281"/>
      <c r="F145" s="281"/>
      <c r="G145" s="358"/>
      <c r="H145" s="358"/>
      <c r="I145" s="358"/>
      <c r="J145" s="358"/>
      <c r="K145" s="284"/>
      <c r="L145" s="358"/>
      <c r="M145" s="358">
        <v>134.5</v>
      </c>
      <c r="N145" s="298" t="s">
        <v>426</v>
      </c>
      <c r="O145" s="405"/>
      <c r="P145" s="405"/>
      <c r="Q145" s="407"/>
    </row>
    <row r="146" spans="1:17">
      <c r="A146" s="267">
        <v>30</v>
      </c>
      <c r="B146" s="276" t="s">
        <v>19</v>
      </c>
      <c r="C146" s="267">
        <v>2215</v>
      </c>
      <c r="D146" s="100"/>
      <c r="E146" s="100"/>
      <c r="F146" s="100"/>
      <c r="G146" s="358"/>
      <c r="H146" s="358">
        <v>7.5</v>
      </c>
      <c r="I146" s="358"/>
      <c r="J146" s="358"/>
      <c r="K146" s="358"/>
      <c r="L146" s="358"/>
      <c r="M146" s="358">
        <f t="shared" si="2"/>
        <v>7.5</v>
      </c>
      <c r="N146" s="272" t="s">
        <v>258</v>
      </c>
      <c r="O146" s="51"/>
      <c r="P146" s="51"/>
      <c r="Q146" s="122"/>
    </row>
    <row r="147" spans="1:17">
      <c r="A147" s="412">
        <v>31</v>
      </c>
      <c r="B147" s="459" t="s">
        <v>23</v>
      </c>
      <c r="C147" s="267">
        <v>2215</v>
      </c>
      <c r="D147" s="100"/>
      <c r="E147" s="100"/>
      <c r="F147" s="100"/>
      <c r="G147" s="358"/>
      <c r="H147" s="358">
        <v>8.4</v>
      </c>
      <c r="I147" s="358"/>
      <c r="J147" s="358"/>
      <c r="K147" s="358"/>
      <c r="L147" s="358"/>
      <c r="M147" s="358">
        <f t="shared" si="2"/>
        <v>8.4</v>
      </c>
      <c r="N147" s="272" t="s">
        <v>258</v>
      </c>
      <c r="O147" s="51"/>
      <c r="P147" s="51"/>
      <c r="Q147" s="122"/>
    </row>
    <row r="148" spans="1:17" ht="25.5">
      <c r="A148" s="412"/>
      <c r="B148" s="459"/>
      <c r="C148" s="267">
        <v>2215</v>
      </c>
      <c r="D148" s="100"/>
      <c r="E148" s="100"/>
      <c r="F148" s="100"/>
      <c r="G148" s="358"/>
      <c r="H148" s="358"/>
      <c r="I148" s="358"/>
      <c r="J148" s="358"/>
      <c r="K148" s="358">
        <v>5.5</v>
      </c>
      <c r="L148" s="358"/>
      <c r="M148" s="358">
        <f t="shared" si="2"/>
        <v>5.5</v>
      </c>
      <c r="N148" s="272" t="s">
        <v>354</v>
      </c>
      <c r="O148" s="51"/>
      <c r="P148" s="51"/>
      <c r="Q148" s="122"/>
    </row>
    <row r="149" spans="1:17">
      <c r="A149" s="267">
        <v>32</v>
      </c>
      <c r="B149" s="276" t="s">
        <v>126</v>
      </c>
      <c r="C149" s="267">
        <v>2215</v>
      </c>
      <c r="D149" s="100"/>
      <c r="E149" s="100"/>
      <c r="F149" s="100"/>
      <c r="G149" s="358"/>
      <c r="H149" s="358">
        <v>8.4</v>
      </c>
      <c r="I149" s="358"/>
      <c r="J149" s="358"/>
      <c r="K149" s="358"/>
      <c r="L149" s="358"/>
      <c r="M149" s="358">
        <f t="shared" si="2"/>
        <v>8.4</v>
      </c>
      <c r="N149" s="272" t="s">
        <v>258</v>
      </c>
      <c r="O149" s="51"/>
      <c r="P149" s="51"/>
      <c r="Q149" s="122"/>
    </row>
    <row r="150" spans="1:17" ht="25.5">
      <c r="A150" s="412">
        <v>33</v>
      </c>
      <c r="B150" s="424" t="s">
        <v>22</v>
      </c>
      <c r="C150" s="267">
        <v>2215</v>
      </c>
      <c r="D150" s="100"/>
      <c r="E150" s="100"/>
      <c r="F150" s="100"/>
      <c r="G150" s="358"/>
      <c r="H150" s="358">
        <v>581</v>
      </c>
      <c r="I150" s="358"/>
      <c r="J150" s="358"/>
      <c r="K150" s="284"/>
      <c r="L150" s="358"/>
      <c r="M150" s="358">
        <f t="shared" si="2"/>
        <v>581</v>
      </c>
      <c r="N150" s="272" t="s">
        <v>238</v>
      </c>
      <c r="O150" s="51"/>
      <c r="P150" s="51"/>
      <c r="Q150" s="122"/>
    </row>
    <row r="151" spans="1:17">
      <c r="A151" s="412"/>
      <c r="B151" s="424"/>
      <c r="C151" s="267">
        <v>3111</v>
      </c>
      <c r="D151" s="100"/>
      <c r="E151" s="100"/>
      <c r="F151" s="100"/>
      <c r="G151" s="358"/>
      <c r="H151" s="358"/>
      <c r="I151" s="358"/>
      <c r="J151" s="358"/>
      <c r="K151" s="284"/>
      <c r="L151" s="358"/>
      <c r="M151" s="358">
        <v>2492.9</v>
      </c>
      <c r="N151" s="272" t="s">
        <v>356</v>
      </c>
      <c r="O151" s="51"/>
      <c r="P151" s="51"/>
      <c r="Q151" s="122"/>
    </row>
    <row r="152" spans="1:17" ht="25.5">
      <c r="A152" s="412"/>
      <c r="B152" s="424"/>
      <c r="C152" s="267">
        <v>3112</v>
      </c>
      <c r="D152" s="100"/>
      <c r="E152" s="100"/>
      <c r="F152" s="100"/>
      <c r="G152" s="358"/>
      <c r="H152" s="358"/>
      <c r="I152" s="358"/>
      <c r="J152" s="358"/>
      <c r="K152" s="284"/>
      <c r="L152" s="358"/>
      <c r="M152" s="358">
        <v>300</v>
      </c>
      <c r="N152" s="272" t="s">
        <v>344</v>
      </c>
      <c r="O152" s="51"/>
      <c r="P152" s="51"/>
      <c r="Q152" s="122"/>
    </row>
    <row r="153" spans="1:17">
      <c r="A153" s="412"/>
      <c r="B153" s="424"/>
      <c r="C153" s="267">
        <v>3112</v>
      </c>
      <c r="D153" s="100"/>
      <c r="E153" s="100"/>
      <c r="F153" s="100"/>
      <c r="G153" s="358"/>
      <c r="H153" s="358"/>
      <c r="I153" s="358"/>
      <c r="J153" s="358"/>
      <c r="K153" s="284"/>
      <c r="L153" s="358"/>
      <c r="M153" s="358">
        <v>1800</v>
      </c>
      <c r="N153" s="272" t="s">
        <v>345</v>
      </c>
      <c r="O153" s="51"/>
      <c r="P153" s="51"/>
      <c r="Q153" s="122"/>
    </row>
    <row r="154" spans="1:17" ht="25.5">
      <c r="A154" s="412">
        <v>34</v>
      </c>
      <c r="B154" s="424" t="s">
        <v>146</v>
      </c>
      <c r="C154" s="267">
        <v>2215</v>
      </c>
      <c r="D154" s="100"/>
      <c r="E154" s="100"/>
      <c r="F154" s="100"/>
      <c r="G154" s="358"/>
      <c r="H154" s="358">
        <v>675.8</v>
      </c>
      <c r="I154" s="358"/>
      <c r="J154" s="358"/>
      <c r="K154" s="284"/>
      <c r="L154" s="358"/>
      <c r="M154" s="358">
        <f t="shared" si="2"/>
        <v>675.8</v>
      </c>
      <c r="N154" s="272" t="s">
        <v>238</v>
      </c>
      <c r="O154" s="51"/>
      <c r="P154" s="51"/>
      <c r="Q154" s="122"/>
    </row>
    <row r="155" spans="1:17" ht="25.5">
      <c r="A155" s="412"/>
      <c r="B155" s="424"/>
      <c r="C155" s="267">
        <v>2215</v>
      </c>
      <c r="D155" s="100"/>
      <c r="E155" s="100"/>
      <c r="F155" s="100"/>
      <c r="G155" s="358"/>
      <c r="H155" s="358"/>
      <c r="I155" s="358"/>
      <c r="J155" s="358"/>
      <c r="K155" s="284">
        <v>86.2</v>
      </c>
      <c r="L155" s="358"/>
      <c r="M155" s="358">
        <f t="shared" si="2"/>
        <v>86.2</v>
      </c>
      <c r="N155" s="272" t="s">
        <v>290</v>
      </c>
      <c r="O155" s="51"/>
      <c r="P155" s="51"/>
      <c r="Q155" s="122"/>
    </row>
    <row r="156" spans="1:17" ht="25.5">
      <c r="A156" s="273">
        <v>35</v>
      </c>
      <c r="B156" s="269" t="s">
        <v>272</v>
      </c>
      <c r="C156" s="6"/>
      <c r="D156" s="100">
        <v>40000</v>
      </c>
      <c r="E156" s="100"/>
      <c r="F156" s="100"/>
      <c r="G156" s="358">
        <v>45000</v>
      </c>
      <c r="H156" s="358"/>
      <c r="I156" s="358"/>
      <c r="J156" s="358"/>
      <c r="K156" s="358"/>
      <c r="L156" s="358"/>
      <c r="M156" s="358"/>
      <c r="N156" s="272" t="s">
        <v>250</v>
      </c>
      <c r="Q156" s="122"/>
    </row>
    <row r="157" spans="1:17">
      <c r="A157" s="267"/>
      <c r="B157" s="269"/>
      <c r="C157" s="6"/>
      <c r="D157" s="100"/>
      <c r="E157" s="100"/>
      <c r="F157" s="100"/>
      <c r="G157" s="281"/>
      <c r="H157" s="281"/>
      <c r="I157" s="281"/>
      <c r="J157" s="281"/>
      <c r="K157" s="283"/>
      <c r="L157" s="281"/>
      <c r="M157" s="283"/>
      <c r="N157" s="272"/>
      <c r="O157" s="51"/>
      <c r="P157" s="51"/>
    </row>
    <row r="158" spans="1:17">
      <c r="A158" s="267"/>
      <c r="B158" s="269"/>
      <c r="C158" s="6"/>
      <c r="D158" s="113">
        <f>SUM(D10:D157)</f>
        <v>51031.1</v>
      </c>
      <c r="E158" s="113">
        <f t="shared" ref="E158:M158" si="5">SUM(E10:E157)</f>
        <v>3201.5</v>
      </c>
      <c r="F158" s="113">
        <f t="shared" si="5"/>
        <v>0</v>
      </c>
      <c r="G158" s="288">
        <f t="shared" si="5"/>
        <v>59232.6</v>
      </c>
      <c r="H158" s="288">
        <f t="shared" si="5"/>
        <v>51412.9</v>
      </c>
      <c r="I158" s="288">
        <f t="shared" si="5"/>
        <v>194.6</v>
      </c>
      <c r="J158" s="288">
        <f t="shared" si="5"/>
        <v>0</v>
      </c>
      <c r="K158" s="288">
        <f t="shared" si="5"/>
        <v>9006.9000000000015</v>
      </c>
      <c r="L158" s="288">
        <f t="shared" si="5"/>
        <v>0</v>
      </c>
      <c r="M158" s="288">
        <f t="shared" si="5"/>
        <v>59232.6</v>
      </c>
      <c r="N158" s="272"/>
      <c r="O158" s="51"/>
      <c r="P158" s="51"/>
      <c r="Q158" s="122"/>
    </row>
    <row r="159" spans="1:17">
      <c r="A159" s="53"/>
      <c r="B159" s="265"/>
      <c r="C159" s="34"/>
      <c r="D159" s="266"/>
      <c r="E159" s="266"/>
      <c r="F159" s="266"/>
      <c r="G159" s="289"/>
      <c r="H159" s="289"/>
      <c r="I159" s="289"/>
      <c r="J159" s="289"/>
      <c r="K159" s="290"/>
      <c r="L159" s="289"/>
      <c r="M159" s="290"/>
      <c r="N159" s="38"/>
      <c r="O159" s="51"/>
      <c r="P159" s="51"/>
    </row>
    <row r="160" spans="1:17">
      <c r="A160" s="53"/>
      <c r="B160" s="265"/>
      <c r="C160" s="34"/>
      <c r="D160" s="266"/>
      <c r="E160" s="266"/>
      <c r="F160" s="266"/>
      <c r="G160" s="289"/>
      <c r="H160" s="289"/>
      <c r="I160" s="289"/>
      <c r="J160" s="289"/>
      <c r="K160" s="290"/>
      <c r="L160" s="289"/>
      <c r="M160" s="290"/>
      <c r="N160" s="38"/>
      <c r="O160" s="51"/>
      <c r="P160" s="51"/>
    </row>
    <row r="161" spans="2:3">
      <c r="B161" s="2" t="s">
        <v>111</v>
      </c>
      <c r="C161" s="36"/>
    </row>
  </sheetData>
  <mergeCells count="82">
    <mergeCell ref="A14:A15"/>
    <mergeCell ref="B14:B15"/>
    <mergeCell ref="N14:N15"/>
    <mergeCell ref="B92:B97"/>
    <mergeCell ref="A92:A97"/>
    <mergeCell ref="A19:A23"/>
    <mergeCell ref="B19:B23"/>
    <mergeCell ref="N19:N23"/>
    <mergeCell ref="A25:A31"/>
    <mergeCell ref="B25:B31"/>
    <mergeCell ref="N25:N31"/>
    <mergeCell ref="A50:A54"/>
    <mergeCell ref="B50:B54"/>
    <mergeCell ref="N50:N54"/>
    <mergeCell ref="A32:A35"/>
    <mergeCell ref="B32:B35"/>
    <mergeCell ref="A7:N7"/>
    <mergeCell ref="A10:A13"/>
    <mergeCell ref="B10:B13"/>
    <mergeCell ref="N10:N11"/>
    <mergeCell ref="N12:N13"/>
    <mergeCell ref="N32:N33"/>
    <mergeCell ref="N34:N35"/>
    <mergeCell ref="A37:A42"/>
    <mergeCell ref="B37:B42"/>
    <mergeCell ref="N37:N42"/>
    <mergeCell ref="A43:A44"/>
    <mergeCell ref="B43:B44"/>
    <mergeCell ref="A45:A49"/>
    <mergeCell ref="B45:B49"/>
    <mergeCell ref="N45:N48"/>
    <mergeCell ref="A55:A60"/>
    <mergeCell ref="B55:B60"/>
    <mergeCell ref="N55:N60"/>
    <mergeCell ref="A61:A63"/>
    <mergeCell ref="B61:B63"/>
    <mergeCell ref="N61:N63"/>
    <mergeCell ref="A64:A71"/>
    <mergeCell ref="B64:B71"/>
    <mergeCell ref="N64:N65"/>
    <mergeCell ref="N66:N67"/>
    <mergeCell ref="A72:A73"/>
    <mergeCell ref="B72:B73"/>
    <mergeCell ref="A98:A100"/>
    <mergeCell ref="B98:B100"/>
    <mergeCell ref="N98:N99"/>
    <mergeCell ref="A75:A82"/>
    <mergeCell ref="B75:B82"/>
    <mergeCell ref="N75:N77"/>
    <mergeCell ref="A83:A87"/>
    <mergeCell ref="B83:B87"/>
    <mergeCell ref="N83:N87"/>
    <mergeCell ref="A88:A90"/>
    <mergeCell ref="B88:B90"/>
    <mergeCell ref="N92:N93"/>
    <mergeCell ref="N125:N126"/>
    <mergeCell ref="A101:A108"/>
    <mergeCell ref="B101:B108"/>
    <mergeCell ref="A109:A111"/>
    <mergeCell ref="B109:B111"/>
    <mergeCell ref="A115:A119"/>
    <mergeCell ref="B115:B119"/>
    <mergeCell ref="N115:N116"/>
    <mergeCell ref="A120:A124"/>
    <mergeCell ref="B120:B124"/>
    <mergeCell ref="B112:B114"/>
    <mergeCell ref="A112:A114"/>
    <mergeCell ref="A130:A138"/>
    <mergeCell ref="B130:B138"/>
    <mergeCell ref="A147:A148"/>
    <mergeCell ref="B147:B148"/>
    <mergeCell ref="A125:A129"/>
    <mergeCell ref="B125:B129"/>
    <mergeCell ref="N139:N140"/>
    <mergeCell ref="A150:A153"/>
    <mergeCell ref="B150:B153"/>
    <mergeCell ref="A154:A155"/>
    <mergeCell ref="B154:B155"/>
    <mergeCell ref="B139:B141"/>
    <mergeCell ref="A139:A141"/>
    <mergeCell ref="A142:A145"/>
    <mergeCell ref="B142:B145"/>
  </mergeCells>
  <pageMargins left="0.59055118110236227" right="0.39370078740157483" top="0.39370078740157483" bottom="0.39370078740157483" header="0.39370078740157483" footer="0.31496062992125984"/>
  <pageSetup paperSize="9" scale="88" fitToHeight="0" orientation="portrait" verticalDpi="0" r:id="rId1"/>
  <rowBreaks count="2" manualBreakCount="2">
    <brk id="63" max="13" man="1"/>
    <brk id="119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7"/>
  <sheetViews>
    <sheetView workbookViewId="0">
      <selection activeCell="O12" sqref="O12"/>
    </sheetView>
  </sheetViews>
  <sheetFormatPr defaultColWidth="9.140625" defaultRowHeight="12.75"/>
  <cols>
    <col min="1" max="1" width="3" style="48" bestFit="1" customWidth="1"/>
    <col min="2" max="2" width="26" style="48" customWidth="1"/>
    <col min="3" max="3" width="9" style="48" bestFit="1" customWidth="1"/>
    <col min="4" max="4" width="14.7109375" style="48" customWidth="1"/>
    <col min="5" max="5" width="12.140625" style="48" customWidth="1"/>
    <col min="6" max="6" width="13" style="48" hidden="1" customWidth="1"/>
    <col min="7" max="7" width="11.5703125" style="48" hidden="1" customWidth="1"/>
    <col min="8" max="8" width="9.42578125" style="48" hidden="1" customWidth="1"/>
    <col min="9" max="9" width="9" style="48" hidden="1" customWidth="1"/>
    <col min="10" max="10" width="40.7109375" style="48" customWidth="1"/>
    <col min="11" max="12" width="9.140625" style="48"/>
    <col min="13" max="13" width="9.140625" style="46"/>
    <col min="14" max="16384" width="9.140625" style="48"/>
  </cols>
  <sheetData>
    <row r="1" spans="1:10">
      <c r="J1" s="3" t="s">
        <v>0</v>
      </c>
    </row>
    <row r="2" spans="1:10">
      <c r="J2" s="32" t="s">
        <v>296</v>
      </c>
    </row>
    <row r="3" spans="1:10">
      <c r="J3" s="3" t="s">
        <v>434</v>
      </c>
    </row>
    <row r="4" spans="1:10">
      <c r="J4" s="3" t="s">
        <v>437</v>
      </c>
    </row>
    <row r="5" spans="1:10">
      <c r="J5" s="35" t="s">
        <v>293</v>
      </c>
    </row>
    <row r="6" spans="1:10">
      <c r="J6" s="35"/>
    </row>
    <row r="7" spans="1:10" ht="27" customHeight="1">
      <c r="A7" s="425" t="s">
        <v>278</v>
      </c>
      <c r="B7" s="426"/>
      <c r="C7" s="426"/>
      <c r="D7" s="426"/>
      <c r="E7" s="426"/>
      <c r="F7" s="426"/>
      <c r="G7" s="426"/>
      <c r="H7" s="426"/>
      <c r="I7" s="426"/>
      <c r="J7" s="426"/>
    </row>
    <row r="8" spans="1:10" ht="57" customHeight="1">
      <c r="A8" s="165" t="s">
        <v>2</v>
      </c>
      <c r="B8" s="165" t="s">
        <v>25</v>
      </c>
      <c r="C8" s="165" t="s">
        <v>113</v>
      </c>
      <c r="D8" s="30" t="s">
        <v>273</v>
      </c>
      <c r="E8" s="30" t="s">
        <v>235</v>
      </c>
      <c r="F8" s="30" t="s">
        <v>256</v>
      </c>
      <c r="G8" s="30" t="s">
        <v>257</v>
      </c>
      <c r="H8" s="30" t="s">
        <v>234</v>
      </c>
      <c r="I8" s="30" t="s">
        <v>90</v>
      </c>
      <c r="J8" s="165" t="s">
        <v>114</v>
      </c>
    </row>
    <row r="9" spans="1:10">
      <c r="A9" s="44">
        <v>1</v>
      </c>
      <c r="B9" s="44">
        <v>2</v>
      </c>
      <c r="C9" s="44">
        <v>3</v>
      </c>
      <c r="D9" s="44">
        <v>4</v>
      </c>
      <c r="E9" s="44">
        <v>5</v>
      </c>
      <c r="F9" s="44">
        <v>6</v>
      </c>
      <c r="G9" s="44">
        <v>7</v>
      </c>
      <c r="H9" s="44">
        <v>8</v>
      </c>
      <c r="I9" s="44">
        <v>9</v>
      </c>
      <c r="J9" s="44">
        <v>10</v>
      </c>
    </row>
    <row r="10" spans="1:10">
      <c r="A10" s="458">
        <v>1</v>
      </c>
      <c r="B10" s="429" t="s">
        <v>116</v>
      </c>
      <c r="C10" s="6">
        <v>2214</v>
      </c>
      <c r="D10" s="100">
        <v>811.4</v>
      </c>
      <c r="E10" s="100"/>
      <c r="F10" s="100"/>
      <c r="G10" s="102"/>
      <c r="H10" s="100"/>
      <c r="I10" s="102"/>
      <c r="J10" s="424" t="s">
        <v>254</v>
      </c>
    </row>
    <row r="11" spans="1:10">
      <c r="A11" s="456"/>
      <c r="B11" s="455"/>
      <c r="C11" s="6">
        <v>2215</v>
      </c>
      <c r="D11" s="100">
        <v>16.100000000000001</v>
      </c>
      <c r="E11" s="100"/>
      <c r="F11" s="100"/>
      <c r="G11" s="102"/>
      <c r="H11" s="100"/>
      <c r="I11" s="102"/>
      <c r="J11" s="424"/>
    </row>
    <row r="12" spans="1:10">
      <c r="A12" s="456"/>
      <c r="B12" s="455"/>
      <c r="C12" s="6">
        <v>2222</v>
      </c>
      <c r="D12" s="100">
        <v>63.2</v>
      </c>
      <c r="E12" s="100"/>
      <c r="F12" s="100"/>
      <c r="G12" s="102"/>
      <c r="H12" s="100"/>
      <c r="I12" s="102"/>
      <c r="J12" s="424"/>
    </row>
    <row r="13" spans="1:10">
      <c r="A13" s="456"/>
      <c r="B13" s="455"/>
      <c r="C13" s="6">
        <v>3112</v>
      </c>
      <c r="D13" s="100">
        <v>47.6</v>
      </c>
      <c r="E13" s="100"/>
      <c r="F13" s="100"/>
      <c r="G13" s="102"/>
      <c r="H13" s="100"/>
      <c r="I13" s="102"/>
      <c r="J13" s="424"/>
    </row>
    <row r="14" spans="1:10">
      <c r="A14" s="456"/>
      <c r="B14" s="455"/>
      <c r="C14" s="6">
        <v>3112</v>
      </c>
      <c r="D14" s="100">
        <v>3390.7</v>
      </c>
      <c r="E14" s="100"/>
      <c r="F14" s="100"/>
      <c r="G14" s="102"/>
      <c r="H14" s="100"/>
      <c r="I14" s="102"/>
      <c r="J14" s="254" t="s">
        <v>276</v>
      </c>
    </row>
    <row r="15" spans="1:10" ht="25.5">
      <c r="A15" s="276">
        <v>2</v>
      </c>
      <c r="B15" s="269" t="s">
        <v>149</v>
      </c>
      <c r="C15" s="253">
        <v>2222</v>
      </c>
      <c r="D15" s="100">
        <v>106.6</v>
      </c>
      <c r="E15" s="100"/>
      <c r="F15" s="100"/>
      <c r="G15" s="102"/>
      <c r="H15" s="100"/>
      <c r="I15" s="102"/>
      <c r="J15" s="254" t="s">
        <v>276</v>
      </c>
    </row>
    <row r="16" spans="1:10" ht="25.5">
      <c r="A16" s="275">
        <v>3</v>
      </c>
      <c r="B16" s="274" t="s">
        <v>394</v>
      </c>
      <c r="C16" s="6">
        <v>14238900</v>
      </c>
      <c r="D16" s="100">
        <v>1968.9</v>
      </c>
      <c r="E16" s="100"/>
      <c r="F16" s="100"/>
      <c r="G16" s="102"/>
      <c r="H16" s="100"/>
      <c r="I16" s="102"/>
      <c r="J16" s="263" t="s">
        <v>407</v>
      </c>
    </row>
    <row r="17" spans="1:13">
      <c r="A17" s="458">
        <v>4</v>
      </c>
      <c r="B17" s="429" t="s">
        <v>116</v>
      </c>
      <c r="C17" s="6">
        <v>2111</v>
      </c>
      <c r="D17" s="100"/>
      <c r="E17" s="100">
        <v>96.8</v>
      </c>
      <c r="F17" s="100"/>
      <c r="G17" s="100"/>
      <c r="H17" s="100"/>
      <c r="I17" s="102"/>
      <c r="J17" s="429" t="s">
        <v>277</v>
      </c>
      <c r="K17" s="51"/>
      <c r="L17" s="51"/>
      <c r="M17" s="122"/>
    </row>
    <row r="18" spans="1:13">
      <c r="A18" s="456"/>
      <c r="B18" s="455"/>
      <c r="C18" s="6">
        <v>2121</v>
      </c>
      <c r="D18" s="100"/>
      <c r="E18" s="100">
        <v>16.7</v>
      </c>
      <c r="F18" s="100"/>
      <c r="G18" s="100"/>
      <c r="H18" s="100"/>
      <c r="I18" s="102"/>
      <c r="J18" s="430"/>
      <c r="K18" s="51"/>
      <c r="L18" s="51"/>
      <c r="M18" s="122"/>
    </row>
    <row r="19" spans="1:13">
      <c r="A19" s="456"/>
      <c r="B19" s="455"/>
      <c r="C19" s="6">
        <v>2214</v>
      </c>
      <c r="D19" s="100"/>
      <c r="E19" s="100">
        <v>776.8</v>
      </c>
      <c r="F19" s="100"/>
      <c r="G19" s="100"/>
      <c r="H19" s="100"/>
      <c r="I19" s="102"/>
      <c r="J19" s="249" t="s">
        <v>279</v>
      </c>
      <c r="K19" s="51"/>
      <c r="L19" s="51"/>
      <c r="M19" s="122"/>
    </row>
    <row r="20" spans="1:13">
      <c r="A20" s="456"/>
      <c r="B20" s="455"/>
      <c r="C20" s="6">
        <v>3112</v>
      </c>
      <c r="D20" s="100"/>
      <c r="E20" s="100">
        <v>48</v>
      </c>
      <c r="F20" s="100"/>
      <c r="G20" s="100"/>
      <c r="H20" s="100"/>
      <c r="I20" s="102"/>
      <c r="J20" s="249" t="s">
        <v>280</v>
      </c>
      <c r="K20" s="51"/>
      <c r="L20" s="51"/>
      <c r="M20" s="122"/>
    </row>
    <row r="21" spans="1:13">
      <c r="A21" s="456"/>
      <c r="B21" s="455"/>
      <c r="C21" s="6">
        <v>2111</v>
      </c>
      <c r="D21" s="100"/>
      <c r="E21" s="100">
        <v>2806.7</v>
      </c>
      <c r="F21" s="100"/>
      <c r="G21" s="100"/>
      <c r="H21" s="100"/>
      <c r="I21" s="102"/>
      <c r="J21" s="429" t="s">
        <v>292</v>
      </c>
      <c r="K21" s="51"/>
      <c r="L21" s="51"/>
      <c r="M21" s="122"/>
    </row>
    <row r="22" spans="1:13">
      <c r="A22" s="457"/>
      <c r="B22" s="430"/>
      <c r="C22" s="6">
        <v>2121</v>
      </c>
      <c r="D22" s="100"/>
      <c r="E22" s="100">
        <v>584</v>
      </c>
      <c r="F22" s="100"/>
      <c r="G22" s="100"/>
      <c r="H22" s="100"/>
      <c r="I22" s="102"/>
      <c r="J22" s="430"/>
      <c r="K22" s="51"/>
      <c r="L22" s="51"/>
      <c r="M22" s="122"/>
    </row>
    <row r="23" spans="1:13" ht="25.5">
      <c r="A23" s="276">
        <v>5</v>
      </c>
      <c r="B23" s="269" t="s">
        <v>149</v>
      </c>
      <c r="C23" s="6">
        <v>2222</v>
      </c>
      <c r="D23" s="100"/>
      <c r="E23" s="100">
        <v>106.6</v>
      </c>
      <c r="F23" s="100"/>
      <c r="G23" s="102"/>
      <c r="H23" s="100"/>
      <c r="I23" s="102"/>
      <c r="J23" s="247" t="s">
        <v>291</v>
      </c>
    </row>
    <row r="24" spans="1:13">
      <c r="A24" s="458">
        <v>6</v>
      </c>
      <c r="B24" s="429" t="s">
        <v>394</v>
      </c>
      <c r="C24" s="6">
        <v>2111</v>
      </c>
      <c r="D24" s="100"/>
      <c r="E24" s="100">
        <f>345-45.1</f>
        <v>299.89999999999998</v>
      </c>
      <c r="F24" s="100"/>
      <c r="G24" s="102"/>
      <c r="H24" s="100"/>
      <c r="I24" s="102"/>
      <c r="J24" s="429" t="s">
        <v>405</v>
      </c>
      <c r="L24" s="46"/>
      <c r="M24" s="48"/>
    </row>
    <row r="25" spans="1:13">
      <c r="A25" s="456"/>
      <c r="B25" s="455"/>
      <c r="C25" s="6">
        <v>2121</v>
      </c>
      <c r="D25" s="100"/>
      <c r="E25" s="100">
        <f>59.5-7.8</f>
        <v>51.7</v>
      </c>
      <c r="F25" s="100"/>
      <c r="G25" s="102"/>
      <c r="H25" s="100"/>
      <c r="I25" s="102"/>
      <c r="J25" s="430"/>
      <c r="L25" s="46"/>
      <c r="M25" s="48"/>
    </row>
    <row r="26" spans="1:13" ht="25.5">
      <c r="A26" s="456"/>
      <c r="B26" s="455"/>
      <c r="C26" s="6">
        <v>2212</v>
      </c>
      <c r="D26" s="100"/>
      <c r="E26" s="100">
        <f>32.7-10</f>
        <v>22.700000000000003</v>
      </c>
      <c r="F26" s="100"/>
      <c r="G26" s="102"/>
      <c r="H26" s="100"/>
      <c r="I26" s="102"/>
      <c r="J26" s="263" t="s">
        <v>338</v>
      </c>
      <c r="L26" s="46"/>
      <c r="M26" s="48"/>
    </row>
    <row r="27" spans="1:13" ht="25.5">
      <c r="A27" s="456"/>
      <c r="B27" s="455"/>
      <c r="C27" s="6">
        <v>2215</v>
      </c>
      <c r="D27" s="100"/>
      <c r="E27" s="100">
        <v>50</v>
      </c>
      <c r="F27" s="100"/>
      <c r="G27" s="102"/>
      <c r="H27" s="100"/>
      <c r="I27" s="102"/>
      <c r="J27" s="263" t="s">
        <v>337</v>
      </c>
      <c r="L27" s="46"/>
      <c r="M27" s="48"/>
    </row>
    <row r="28" spans="1:13" ht="25.5">
      <c r="A28" s="456"/>
      <c r="B28" s="455"/>
      <c r="C28" s="6">
        <v>2217</v>
      </c>
      <c r="D28" s="100"/>
      <c r="E28" s="100">
        <v>5</v>
      </c>
      <c r="F28" s="100"/>
      <c r="G28" s="102"/>
      <c r="H28" s="100"/>
      <c r="I28" s="102"/>
      <c r="J28" s="263" t="s">
        <v>406</v>
      </c>
      <c r="L28" s="46"/>
      <c r="M28" s="48"/>
    </row>
    <row r="29" spans="1:13">
      <c r="A29" s="456"/>
      <c r="B29" s="455"/>
      <c r="C29" s="6">
        <v>2221</v>
      </c>
      <c r="D29" s="100"/>
      <c r="E29" s="100">
        <v>288.2</v>
      </c>
      <c r="F29" s="100"/>
      <c r="G29" s="102"/>
      <c r="H29" s="100"/>
      <c r="I29" s="102"/>
      <c r="J29" s="263" t="s">
        <v>339</v>
      </c>
      <c r="L29" s="46"/>
      <c r="M29" s="48"/>
    </row>
    <row r="30" spans="1:13" ht="25.5">
      <c r="A30" s="456"/>
      <c r="B30" s="455"/>
      <c r="C30" s="6">
        <v>2222</v>
      </c>
      <c r="D30" s="100"/>
      <c r="E30" s="100">
        <f>339.5+2.7</f>
        <v>342.2</v>
      </c>
      <c r="F30" s="100"/>
      <c r="G30" s="102"/>
      <c r="H30" s="100"/>
      <c r="I30" s="102"/>
      <c r="J30" s="263" t="s">
        <v>396</v>
      </c>
      <c r="L30" s="46"/>
      <c r="M30" s="48"/>
    </row>
    <row r="31" spans="1:13">
      <c r="A31" s="456"/>
      <c r="B31" s="455"/>
      <c r="C31" s="6">
        <v>2223</v>
      </c>
      <c r="D31" s="100"/>
      <c r="E31" s="100">
        <v>37.4</v>
      </c>
      <c r="F31" s="100"/>
      <c r="G31" s="102"/>
      <c r="H31" s="100"/>
      <c r="I31" s="102"/>
      <c r="J31" s="263" t="s">
        <v>395</v>
      </c>
      <c r="L31" s="46"/>
      <c r="M31" s="48"/>
    </row>
    <row r="32" spans="1:13" ht="25.5">
      <c r="A32" s="456"/>
      <c r="B32" s="455"/>
      <c r="C32" s="6">
        <v>2231</v>
      </c>
      <c r="D32" s="100"/>
      <c r="E32" s="100">
        <f>966.4-234.6</f>
        <v>731.8</v>
      </c>
      <c r="F32" s="100"/>
      <c r="G32" s="102"/>
      <c r="H32" s="100"/>
      <c r="I32" s="102"/>
      <c r="J32" s="263" t="s">
        <v>340</v>
      </c>
      <c r="L32" s="46"/>
      <c r="M32" s="48"/>
    </row>
    <row r="33" spans="1:13">
      <c r="A33" s="457"/>
      <c r="B33" s="430"/>
      <c r="C33" s="6">
        <v>3112</v>
      </c>
      <c r="D33" s="100"/>
      <c r="E33" s="100">
        <v>140</v>
      </c>
      <c r="F33" s="100"/>
      <c r="G33" s="102"/>
      <c r="H33" s="100"/>
      <c r="I33" s="102"/>
      <c r="J33" s="263" t="s">
        <v>341</v>
      </c>
      <c r="L33" s="46"/>
      <c r="M33" s="48"/>
    </row>
    <row r="34" spans="1:13">
      <c r="A34" s="246"/>
      <c r="B34" s="248"/>
      <c r="C34" s="6"/>
      <c r="D34" s="99">
        <f t="shared" ref="D34:I34" si="0">SUM(D10:D20)</f>
        <v>6404.5</v>
      </c>
      <c r="E34" s="99">
        <f>SUM(E10:E33)</f>
        <v>6404.4999999999991</v>
      </c>
      <c r="F34" s="99">
        <f t="shared" si="0"/>
        <v>0</v>
      </c>
      <c r="G34" s="99">
        <f t="shared" si="0"/>
        <v>0</v>
      </c>
      <c r="H34" s="99">
        <f t="shared" si="0"/>
        <v>0</v>
      </c>
      <c r="I34" s="99">
        <f t="shared" si="0"/>
        <v>0</v>
      </c>
      <c r="J34" s="249"/>
      <c r="K34" s="51"/>
      <c r="L34" s="155"/>
      <c r="M34" s="48"/>
    </row>
    <row r="35" spans="1:13">
      <c r="A35" s="53"/>
      <c r="B35" s="42"/>
      <c r="C35" s="34"/>
      <c r="D35" s="103"/>
      <c r="E35" s="51"/>
      <c r="M35" s="48"/>
    </row>
    <row r="36" spans="1:13">
      <c r="A36" s="53"/>
      <c r="B36" s="42"/>
      <c r="C36" s="34"/>
      <c r="D36" s="103"/>
      <c r="M36" s="48"/>
    </row>
    <row r="37" spans="1:13">
      <c r="A37" s="53"/>
      <c r="B37" s="2" t="s">
        <v>111</v>
      </c>
      <c r="C37" s="36"/>
      <c r="D37" s="43"/>
      <c r="M37" s="48"/>
    </row>
    <row r="38" spans="1:13">
      <c r="A38" s="53"/>
      <c r="B38" s="42"/>
      <c r="C38" s="34"/>
      <c r="D38" s="43"/>
      <c r="M38" s="48"/>
    </row>
    <row r="39" spans="1:13">
      <c r="M39" s="48"/>
    </row>
    <row r="40" spans="1:13">
      <c r="B40" s="46"/>
      <c r="M40" s="48"/>
    </row>
    <row r="41" spans="1:13">
      <c r="M41" s="48"/>
    </row>
    <row r="42" spans="1:13">
      <c r="A42" s="34"/>
      <c r="B42" s="53"/>
      <c r="C42" s="53"/>
      <c r="D42" s="45"/>
      <c r="M42" s="48"/>
    </row>
    <row r="43" spans="1:13">
      <c r="A43" s="250"/>
      <c r="B43" s="250"/>
      <c r="C43" s="250"/>
      <c r="D43" s="250"/>
      <c r="M43" s="48"/>
    </row>
    <row r="44" spans="1:13">
      <c r="A44" s="49"/>
      <c r="B44" s="49"/>
      <c r="C44" s="49"/>
      <c r="D44" s="49"/>
      <c r="E44" s="49"/>
      <c r="F44" s="49"/>
      <c r="G44" s="49"/>
      <c r="H44" s="49"/>
      <c r="I44" s="49"/>
      <c r="J44" s="49"/>
      <c r="L44" s="51"/>
    </row>
    <row r="45" spans="1:13">
      <c r="A45" s="49"/>
      <c r="B45" s="49"/>
      <c r="C45" s="49"/>
      <c r="D45" s="49"/>
      <c r="E45" s="49"/>
      <c r="F45" s="49"/>
      <c r="G45" s="49"/>
      <c r="H45" s="49"/>
      <c r="I45" s="49"/>
      <c r="J45" s="49"/>
    </row>
    <row r="46" spans="1:13">
      <c r="A46" s="49"/>
      <c r="B46" s="49"/>
      <c r="C46" s="49"/>
      <c r="D46" s="49"/>
      <c r="E46" s="49"/>
      <c r="F46" s="49"/>
      <c r="G46" s="49"/>
      <c r="H46" s="49"/>
      <c r="I46" s="49"/>
      <c r="J46" s="49"/>
    </row>
    <row r="47" spans="1:13">
      <c r="A47" s="49"/>
      <c r="B47" s="49"/>
      <c r="C47" s="49"/>
      <c r="D47" s="49"/>
      <c r="E47" s="49"/>
      <c r="F47" s="49"/>
      <c r="G47" s="49"/>
      <c r="H47" s="49"/>
      <c r="I47" s="49"/>
      <c r="J47" s="49"/>
    </row>
    <row r="48" spans="1:13">
      <c r="A48" s="49"/>
      <c r="B48" s="49"/>
      <c r="C48" s="49"/>
      <c r="D48" s="49"/>
      <c r="E48" s="49"/>
      <c r="F48" s="49"/>
      <c r="G48" s="49"/>
      <c r="H48" s="49"/>
      <c r="I48" s="49"/>
      <c r="J48" s="49"/>
    </row>
    <row r="49" spans="1:10">
      <c r="A49" s="49"/>
      <c r="B49" s="49"/>
      <c r="C49" s="49"/>
      <c r="D49" s="49"/>
      <c r="E49" s="49"/>
      <c r="F49" s="49"/>
      <c r="G49" s="49"/>
      <c r="H49" s="49"/>
      <c r="I49" s="49"/>
      <c r="J49" s="49"/>
    </row>
    <row r="50" spans="1:10">
      <c r="A50" s="49"/>
      <c r="B50" s="49"/>
      <c r="C50" s="49"/>
      <c r="D50" s="49"/>
      <c r="E50" s="49"/>
      <c r="F50" s="49"/>
      <c r="G50" s="49"/>
      <c r="H50" s="49"/>
      <c r="I50" s="49"/>
      <c r="J50" s="49"/>
    </row>
    <row r="51" spans="1:10">
      <c r="A51" s="49"/>
      <c r="B51" s="49"/>
      <c r="C51" s="49"/>
      <c r="D51" s="49"/>
      <c r="E51" s="49"/>
      <c r="F51" s="49"/>
      <c r="G51" s="49"/>
      <c r="H51" s="49"/>
      <c r="I51" s="49"/>
      <c r="J51" s="49"/>
    </row>
    <row r="52" spans="1:10">
      <c r="A52" s="49"/>
      <c r="B52" s="49"/>
      <c r="C52" s="49"/>
      <c r="D52" s="49"/>
      <c r="E52" s="49"/>
      <c r="F52" s="49"/>
      <c r="G52" s="49"/>
      <c r="H52" s="49"/>
      <c r="I52" s="49"/>
      <c r="J52" s="49"/>
    </row>
    <row r="53" spans="1:10">
      <c r="A53" s="49"/>
      <c r="B53" s="49"/>
      <c r="C53" s="49"/>
      <c r="D53" s="49"/>
      <c r="E53" s="49"/>
      <c r="F53" s="49"/>
      <c r="G53" s="49"/>
      <c r="H53" s="49"/>
      <c r="I53" s="49"/>
      <c r="J53" s="49"/>
    </row>
    <row r="54" spans="1:10">
      <c r="A54" s="49"/>
      <c r="B54" s="49"/>
      <c r="C54" s="49"/>
      <c r="D54" s="49"/>
      <c r="E54" s="49"/>
      <c r="F54" s="49"/>
      <c r="G54" s="49"/>
      <c r="H54" s="49"/>
      <c r="I54" s="49"/>
      <c r="J54" s="49"/>
    </row>
    <row r="55" spans="1:10">
      <c r="A55" s="49"/>
      <c r="B55" s="49"/>
      <c r="C55" s="49"/>
      <c r="D55" s="49"/>
      <c r="E55" s="49"/>
      <c r="F55" s="49"/>
      <c r="G55" s="49"/>
      <c r="H55" s="49"/>
      <c r="I55" s="49"/>
      <c r="J55" s="49"/>
    </row>
    <row r="56" spans="1:10">
      <c r="A56" s="49"/>
      <c r="B56" s="49"/>
      <c r="C56" s="49"/>
      <c r="D56" s="49"/>
      <c r="E56" s="49"/>
      <c r="F56" s="49"/>
      <c r="G56" s="49"/>
      <c r="H56" s="49"/>
      <c r="I56" s="49"/>
      <c r="J56" s="49"/>
    </row>
    <row r="57" spans="1:10">
      <c r="A57" s="49"/>
      <c r="B57" s="49"/>
      <c r="C57" s="49"/>
      <c r="D57" s="49"/>
      <c r="E57" s="49"/>
      <c r="F57" s="49"/>
      <c r="G57" s="49"/>
      <c r="H57" s="49"/>
      <c r="I57" s="49"/>
      <c r="J57" s="49"/>
    </row>
    <row r="58" spans="1:10">
      <c r="A58" s="49"/>
      <c r="B58" s="49"/>
      <c r="C58" s="49"/>
      <c r="D58" s="49"/>
      <c r="E58" s="49"/>
      <c r="F58" s="49"/>
      <c r="G58" s="49"/>
      <c r="H58" s="49"/>
      <c r="I58" s="49"/>
      <c r="J58" s="49"/>
    </row>
    <row r="59" spans="1:10">
      <c r="A59" s="49"/>
      <c r="B59" s="49"/>
      <c r="C59" s="49"/>
      <c r="D59" s="49"/>
      <c r="E59" s="49"/>
      <c r="F59" s="49"/>
      <c r="G59" s="49"/>
      <c r="H59" s="49"/>
      <c r="I59" s="49"/>
      <c r="J59" s="49"/>
    </row>
    <row r="60" spans="1:10">
      <c r="A60" s="49"/>
      <c r="B60" s="49"/>
      <c r="C60" s="49"/>
      <c r="D60" s="49"/>
      <c r="E60" s="49"/>
      <c r="F60" s="49"/>
      <c r="G60" s="49"/>
      <c r="H60" s="49"/>
      <c r="I60" s="49"/>
      <c r="J60" s="49"/>
    </row>
    <row r="61" spans="1:10">
      <c r="A61" s="49"/>
      <c r="B61" s="49"/>
      <c r="C61" s="49"/>
      <c r="D61" s="49"/>
      <c r="E61" s="49"/>
      <c r="F61" s="49"/>
      <c r="G61" s="49"/>
      <c r="H61" s="49"/>
      <c r="I61" s="49"/>
      <c r="J61" s="49"/>
    </row>
    <row r="62" spans="1:10">
      <c r="A62" s="49"/>
      <c r="B62" s="49"/>
      <c r="C62" s="49"/>
      <c r="D62" s="49"/>
      <c r="E62" s="49"/>
      <c r="F62" s="49"/>
      <c r="G62" s="49"/>
      <c r="H62" s="49"/>
      <c r="I62" s="49"/>
      <c r="J62" s="49"/>
    </row>
    <row r="63" spans="1:10">
      <c r="A63" s="49"/>
      <c r="B63" s="49"/>
      <c r="C63" s="49"/>
      <c r="D63" s="49"/>
      <c r="E63" s="49"/>
      <c r="F63" s="49"/>
      <c r="G63" s="49"/>
      <c r="H63" s="49"/>
      <c r="I63" s="49"/>
      <c r="J63" s="49"/>
    </row>
    <row r="64" spans="1:10">
      <c r="A64" s="49"/>
      <c r="B64" s="49"/>
      <c r="C64" s="49"/>
      <c r="D64" s="49"/>
      <c r="E64" s="49"/>
      <c r="F64" s="49"/>
      <c r="G64" s="49"/>
      <c r="H64" s="49"/>
      <c r="I64" s="49"/>
      <c r="J64" s="49"/>
    </row>
    <row r="65" spans="1:10">
      <c r="A65" s="49"/>
      <c r="B65" s="49"/>
      <c r="C65" s="49"/>
      <c r="D65" s="49"/>
      <c r="E65" s="49"/>
      <c r="F65" s="49"/>
      <c r="G65" s="49"/>
      <c r="H65" s="49"/>
      <c r="I65" s="49"/>
      <c r="J65" s="49"/>
    </row>
    <row r="66" spans="1:10">
      <c r="A66" s="49"/>
      <c r="B66" s="49"/>
      <c r="C66" s="49"/>
      <c r="D66" s="49"/>
      <c r="E66" s="49"/>
      <c r="F66" s="49"/>
      <c r="G66" s="49"/>
      <c r="H66" s="49"/>
      <c r="I66" s="49"/>
      <c r="J66" s="49"/>
    </row>
    <row r="67" spans="1:10">
      <c r="A67" s="49"/>
      <c r="B67" s="49"/>
      <c r="C67" s="49"/>
      <c r="D67" s="49"/>
      <c r="E67" s="49"/>
      <c r="F67" s="49"/>
      <c r="G67" s="49"/>
      <c r="H67" s="49"/>
      <c r="I67" s="49"/>
      <c r="J67" s="49"/>
    </row>
    <row r="68" spans="1:10">
      <c r="A68" s="49"/>
      <c r="B68" s="49"/>
      <c r="C68" s="49"/>
      <c r="D68" s="49"/>
      <c r="E68" s="49"/>
      <c r="F68" s="49"/>
      <c r="G68" s="49"/>
      <c r="H68" s="49"/>
      <c r="I68" s="49"/>
      <c r="J68" s="49"/>
    </row>
    <row r="69" spans="1:10">
      <c r="A69" s="49"/>
      <c r="B69" s="49"/>
      <c r="C69" s="49"/>
      <c r="D69" s="49"/>
      <c r="E69" s="49"/>
      <c r="F69" s="49"/>
      <c r="G69" s="49"/>
      <c r="H69" s="49"/>
      <c r="I69" s="49"/>
      <c r="J69" s="49"/>
    </row>
    <row r="70" spans="1:10">
      <c r="A70" s="49"/>
      <c r="B70" s="49"/>
      <c r="C70" s="49"/>
      <c r="D70" s="49"/>
      <c r="E70" s="49"/>
      <c r="F70" s="49"/>
      <c r="G70" s="49"/>
      <c r="H70" s="49"/>
      <c r="I70" s="49"/>
      <c r="J70" s="49"/>
    </row>
    <row r="71" spans="1:10">
      <c r="A71" s="49"/>
      <c r="B71" s="49"/>
      <c r="C71" s="49"/>
      <c r="D71" s="49"/>
      <c r="E71" s="49"/>
      <c r="F71" s="49"/>
      <c r="G71" s="49"/>
      <c r="H71" s="49"/>
      <c r="I71" s="49"/>
      <c r="J71" s="49"/>
    </row>
    <row r="72" spans="1:10">
      <c r="A72" s="49"/>
      <c r="B72" s="49"/>
      <c r="C72" s="49"/>
      <c r="D72" s="49"/>
      <c r="E72" s="49"/>
      <c r="F72" s="49"/>
      <c r="G72" s="49"/>
      <c r="H72" s="49"/>
      <c r="I72" s="49"/>
      <c r="J72" s="49"/>
    </row>
    <row r="73" spans="1:10">
      <c r="A73" s="49"/>
      <c r="B73" s="49"/>
      <c r="C73" s="49"/>
      <c r="D73" s="49"/>
      <c r="E73" s="49"/>
      <c r="F73" s="49"/>
      <c r="G73" s="49"/>
      <c r="H73" s="49"/>
      <c r="I73" s="49"/>
      <c r="J73" s="49"/>
    </row>
    <row r="74" spans="1:10">
      <c r="A74" s="49"/>
      <c r="B74" s="49"/>
      <c r="C74" s="49"/>
      <c r="D74" s="49"/>
      <c r="E74" s="49"/>
      <c r="F74" s="49"/>
      <c r="G74" s="49"/>
      <c r="H74" s="49"/>
      <c r="I74" s="49"/>
      <c r="J74" s="49"/>
    </row>
    <row r="75" spans="1:10">
      <c r="A75" s="49"/>
      <c r="B75" s="49"/>
      <c r="C75" s="49"/>
      <c r="D75" s="49"/>
      <c r="E75" s="49"/>
      <c r="F75" s="49"/>
      <c r="G75" s="49"/>
      <c r="H75" s="49"/>
      <c r="I75" s="49"/>
      <c r="J75" s="49"/>
    </row>
    <row r="76" spans="1:10">
      <c r="A76" s="49"/>
      <c r="B76" s="49"/>
      <c r="C76" s="49"/>
      <c r="D76" s="49"/>
      <c r="E76" s="49"/>
      <c r="F76" s="49"/>
      <c r="G76" s="49"/>
      <c r="H76" s="49"/>
      <c r="I76" s="49"/>
      <c r="J76" s="49"/>
    </row>
    <row r="77" spans="1:10">
      <c r="A77" s="49"/>
      <c r="B77" s="49"/>
      <c r="C77" s="49"/>
      <c r="D77" s="49"/>
      <c r="E77" s="49"/>
      <c r="F77" s="49"/>
      <c r="G77" s="49"/>
      <c r="H77" s="49"/>
      <c r="I77" s="49"/>
      <c r="J77" s="49"/>
    </row>
    <row r="78" spans="1:10">
      <c r="A78" s="49"/>
      <c r="B78" s="49"/>
      <c r="C78" s="49"/>
      <c r="D78" s="49"/>
      <c r="E78" s="49"/>
      <c r="F78" s="49"/>
      <c r="G78" s="49"/>
      <c r="H78" s="49"/>
      <c r="I78" s="49"/>
      <c r="J78" s="49"/>
    </row>
    <row r="79" spans="1:10">
      <c r="A79" s="49"/>
      <c r="B79" s="49"/>
      <c r="C79" s="49"/>
      <c r="D79" s="49"/>
      <c r="E79" s="49"/>
      <c r="F79" s="49"/>
      <c r="G79" s="49"/>
      <c r="H79" s="49"/>
      <c r="I79" s="49"/>
      <c r="J79" s="49"/>
    </row>
    <row r="80" spans="1:10">
      <c r="A80" s="49"/>
      <c r="B80" s="49"/>
      <c r="C80" s="49"/>
      <c r="D80" s="49"/>
      <c r="E80" s="49"/>
      <c r="F80" s="49"/>
      <c r="G80" s="49"/>
      <c r="H80" s="49"/>
      <c r="I80" s="49"/>
      <c r="J80" s="49"/>
    </row>
    <row r="81" spans="1:10">
      <c r="A81" s="49"/>
      <c r="B81" s="49"/>
      <c r="C81" s="49"/>
      <c r="D81" s="49"/>
      <c r="E81" s="49"/>
      <c r="F81" s="49"/>
      <c r="G81" s="49"/>
      <c r="H81" s="49"/>
      <c r="I81" s="49"/>
      <c r="J81" s="49"/>
    </row>
    <row r="82" spans="1:10">
      <c r="A82" s="49"/>
      <c r="B82" s="49"/>
      <c r="C82" s="49"/>
      <c r="D82" s="49"/>
      <c r="E82" s="49"/>
      <c r="F82" s="49"/>
      <c r="G82" s="49"/>
      <c r="H82" s="49"/>
      <c r="I82" s="49"/>
      <c r="J82" s="49"/>
    </row>
    <row r="83" spans="1:10">
      <c r="A83" s="49"/>
      <c r="B83" s="49"/>
      <c r="C83" s="49"/>
      <c r="D83" s="49"/>
      <c r="E83" s="49"/>
      <c r="F83" s="49"/>
      <c r="G83" s="49"/>
      <c r="H83" s="49"/>
      <c r="I83" s="49"/>
      <c r="J83" s="49"/>
    </row>
    <row r="84" spans="1:10">
      <c r="A84" s="49"/>
      <c r="B84" s="49"/>
      <c r="C84" s="49"/>
      <c r="D84" s="49"/>
      <c r="E84" s="49"/>
      <c r="F84" s="49"/>
      <c r="G84" s="49"/>
      <c r="H84" s="49"/>
      <c r="I84" s="49"/>
      <c r="J84" s="49"/>
    </row>
    <row r="85" spans="1:10">
      <c r="A85" s="49"/>
      <c r="B85" s="49"/>
      <c r="C85" s="49"/>
      <c r="D85" s="49"/>
      <c r="E85" s="49"/>
      <c r="F85" s="49"/>
      <c r="G85" s="49"/>
      <c r="H85" s="49"/>
      <c r="I85" s="49"/>
      <c r="J85" s="49"/>
    </row>
    <row r="86" spans="1:10">
      <c r="A86" s="49"/>
      <c r="B86" s="49"/>
      <c r="C86" s="49"/>
      <c r="D86" s="49"/>
      <c r="E86" s="49"/>
      <c r="F86" s="49"/>
      <c r="G86" s="49"/>
      <c r="H86" s="49"/>
      <c r="I86" s="49"/>
      <c r="J86" s="49"/>
    </row>
    <row r="87" spans="1:10">
      <c r="A87" s="49"/>
      <c r="B87" s="49"/>
      <c r="C87" s="49"/>
      <c r="D87" s="49"/>
      <c r="E87" s="49"/>
      <c r="F87" s="49"/>
      <c r="G87" s="49"/>
      <c r="H87" s="49"/>
      <c r="I87" s="49"/>
      <c r="J87" s="49"/>
    </row>
    <row r="88" spans="1:10">
      <c r="A88" s="49"/>
      <c r="B88" s="49"/>
      <c r="C88" s="49"/>
      <c r="D88" s="49"/>
      <c r="E88" s="49"/>
      <c r="F88" s="49"/>
      <c r="G88" s="49"/>
      <c r="H88" s="49"/>
      <c r="I88" s="49"/>
      <c r="J88" s="49"/>
    </row>
    <row r="89" spans="1:10">
      <c r="A89" s="49"/>
      <c r="B89" s="49"/>
      <c r="C89" s="49"/>
      <c r="D89" s="49"/>
      <c r="E89" s="49"/>
      <c r="F89" s="49"/>
      <c r="G89" s="49"/>
      <c r="H89" s="49"/>
      <c r="I89" s="49"/>
      <c r="J89" s="49"/>
    </row>
    <row r="90" spans="1:10">
      <c r="A90" s="49"/>
      <c r="B90" s="49"/>
      <c r="C90" s="49"/>
      <c r="D90" s="49"/>
      <c r="E90" s="49"/>
      <c r="F90" s="49"/>
      <c r="G90" s="49"/>
      <c r="H90" s="49"/>
      <c r="I90" s="49"/>
      <c r="J90" s="49"/>
    </row>
    <row r="91" spans="1:10">
      <c r="A91" s="49"/>
      <c r="B91" s="49"/>
      <c r="C91" s="49"/>
      <c r="D91" s="49"/>
      <c r="E91" s="49"/>
      <c r="F91" s="49"/>
      <c r="G91" s="49"/>
      <c r="H91" s="49"/>
      <c r="I91" s="49"/>
      <c r="J91" s="49"/>
    </row>
    <row r="92" spans="1:10">
      <c r="A92" s="49"/>
      <c r="B92" s="49"/>
      <c r="C92" s="49"/>
      <c r="D92" s="49"/>
      <c r="E92" s="49"/>
      <c r="F92" s="49"/>
      <c r="G92" s="49"/>
      <c r="H92" s="49"/>
      <c r="I92" s="49"/>
      <c r="J92" s="49"/>
    </row>
    <row r="93" spans="1:10">
      <c r="A93" s="49"/>
      <c r="B93" s="49"/>
      <c r="C93" s="49"/>
      <c r="D93" s="49"/>
      <c r="E93" s="49"/>
      <c r="F93" s="49"/>
      <c r="G93" s="49"/>
      <c r="H93" s="49"/>
      <c r="I93" s="49"/>
      <c r="J93" s="49"/>
    </row>
    <row r="94" spans="1:10">
      <c r="A94" s="49"/>
      <c r="B94" s="49"/>
      <c r="C94" s="49"/>
      <c r="D94" s="49"/>
      <c r="E94" s="49"/>
      <c r="F94" s="49"/>
      <c r="G94" s="49"/>
      <c r="H94" s="49"/>
      <c r="I94" s="49"/>
      <c r="J94" s="49"/>
    </row>
    <row r="95" spans="1:10">
      <c r="A95" s="49"/>
      <c r="B95" s="49"/>
      <c r="C95" s="49"/>
      <c r="D95" s="49"/>
      <c r="E95" s="49"/>
      <c r="F95" s="49"/>
      <c r="G95" s="49"/>
      <c r="H95" s="49"/>
      <c r="I95" s="49"/>
      <c r="J95" s="49"/>
    </row>
    <row r="96" spans="1:10">
      <c r="A96" s="49"/>
      <c r="B96" s="49"/>
      <c r="C96" s="49"/>
      <c r="D96" s="49"/>
      <c r="E96" s="49"/>
      <c r="F96" s="49"/>
      <c r="G96" s="49"/>
      <c r="H96" s="49"/>
      <c r="I96" s="49"/>
      <c r="J96" s="49"/>
    </row>
    <row r="97" spans="1:10">
      <c r="A97" s="49"/>
      <c r="B97" s="49"/>
      <c r="C97" s="49"/>
      <c r="D97" s="49"/>
      <c r="E97" s="49"/>
      <c r="F97" s="49"/>
      <c r="G97" s="49"/>
      <c r="H97" s="49"/>
      <c r="I97" s="49"/>
      <c r="J97" s="49"/>
    </row>
    <row r="98" spans="1:10">
      <c r="A98" s="49"/>
      <c r="B98" s="49"/>
      <c r="C98" s="49"/>
      <c r="D98" s="49"/>
      <c r="E98" s="49"/>
      <c r="F98" s="49"/>
      <c r="G98" s="49"/>
      <c r="H98" s="49"/>
      <c r="I98" s="49"/>
      <c r="J98" s="49"/>
    </row>
    <row r="99" spans="1:10">
      <c r="A99" s="49"/>
      <c r="B99" s="49"/>
      <c r="C99" s="49"/>
      <c r="D99" s="49"/>
      <c r="E99" s="49"/>
      <c r="F99" s="49"/>
      <c r="G99" s="49"/>
      <c r="H99" s="49"/>
      <c r="I99" s="49"/>
      <c r="J99" s="49"/>
    </row>
    <row r="100" spans="1:10">
      <c r="A100" s="49"/>
      <c r="B100" s="49"/>
      <c r="C100" s="49"/>
      <c r="D100" s="49"/>
      <c r="E100" s="49"/>
      <c r="F100" s="49"/>
      <c r="G100" s="49"/>
      <c r="H100" s="49"/>
      <c r="I100" s="49"/>
      <c r="J100" s="49"/>
    </row>
    <row r="101" spans="1:10">
      <c r="A101" s="49"/>
      <c r="B101" s="49"/>
      <c r="C101" s="49"/>
      <c r="D101" s="49"/>
      <c r="E101" s="49"/>
      <c r="F101" s="49"/>
      <c r="G101" s="49"/>
      <c r="H101" s="49"/>
      <c r="I101" s="49"/>
      <c r="J101" s="49"/>
    </row>
    <row r="102" spans="1:10">
      <c r="A102" s="49"/>
      <c r="B102" s="49"/>
      <c r="C102" s="49"/>
      <c r="D102" s="49"/>
      <c r="E102" s="49"/>
      <c r="F102" s="49"/>
      <c r="G102" s="49"/>
      <c r="H102" s="49"/>
      <c r="I102" s="49"/>
      <c r="J102" s="49"/>
    </row>
    <row r="103" spans="1:10">
      <c r="A103" s="49"/>
      <c r="B103" s="49"/>
      <c r="C103" s="49"/>
      <c r="D103" s="49"/>
      <c r="E103" s="49"/>
      <c r="F103" s="49"/>
      <c r="G103" s="49"/>
      <c r="H103" s="49"/>
      <c r="I103" s="49"/>
      <c r="J103" s="49"/>
    </row>
    <row r="104" spans="1:10">
      <c r="A104" s="49"/>
      <c r="B104" s="49"/>
      <c r="C104" s="49"/>
      <c r="D104" s="49"/>
      <c r="E104" s="49"/>
      <c r="F104" s="49"/>
      <c r="G104" s="49"/>
      <c r="H104" s="49"/>
      <c r="I104" s="49"/>
      <c r="J104" s="49"/>
    </row>
    <row r="105" spans="1:10">
      <c r="A105" s="49"/>
      <c r="B105" s="49"/>
      <c r="C105" s="49"/>
      <c r="D105" s="49"/>
      <c r="E105" s="49"/>
      <c r="F105" s="49"/>
      <c r="G105" s="49"/>
      <c r="H105" s="49"/>
      <c r="I105" s="49"/>
      <c r="J105" s="49"/>
    </row>
    <row r="106" spans="1:10">
      <c r="A106" s="49"/>
      <c r="B106" s="49"/>
      <c r="C106" s="49"/>
      <c r="D106" s="49"/>
      <c r="E106" s="49"/>
      <c r="F106" s="49"/>
      <c r="G106" s="49"/>
      <c r="H106" s="49"/>
      <c r="I106" s="49"/>
      <c r="J106" s="49"/>
    </row>
    <row r="107" spans="1:10">
      <c r="A107" s="49"/>
      <c r="B107" s="49"/>
      <c r="C107" s="49"/>
      <c r="D107" s="49"/>
      <c r="E107" s="49"/>
      <c r="F107" s="49"/>
      <c r="G107" s="49"/>
      <c r="H107" s="49"/>
      <c r="I107" s="49"/>
      <c r="J107" s="49"/>
    </row>
    <row r="108" spans="1:10">
      <c r="A108" s="49"/>
      <c r="B108" s="49"/>
      <c r="C108" s="49"/>
      <c r="D108" s="49"/>
      <c r="E108" s="49"/>
      <c r="F108" s="49"/>
      <c r="G108" s="49"/>
      <c r="H108" s="49"/>
      <c r="I108" s="49"/>
      <c r="J108" s="49"/>
    </row>
    <row r="109" spans="1:10">
      <c r="A109" s="49"/>
      <c r="B109" s="49"/>
      <c r="C109" s="49"/>
      <c r="D109" s="49"/>
      <c r="E109" s="49"/>
      <c r="F109" s="49"/>
      <c r="G109" s="49"/>
      <c r="H109" s="49"/>
      <c r="I109" s="49"/>
      <c r="J109" s="49"/>
    </row>
    <row r="110" spans="1:10">
      <c r="A110" s="49"/>
      <c r="B110" s="49"/>
      <c r="C110" s="49"/>
      <c r="D110" s="49"/>
      <c r="E110" s="49"/>
      <c r="F110" s="49"/>
      <c r="G110" s="49"/>
      <c r="H110" s="49"/>
      <c r="I110" s="49"/>
      <c r="J110" s="49"/>
    </row>
    <row r="111" spans="1:10">
      <c r="A111" s="49"/>
      <c r="B111" s="49"/>
      <c r="C111" s="49"/>
      <c r="D111" s="49"/>
      <c r="E111" s="49"/>
      <c r="F111" s="49"/>
      <c r="G111" s="49"/>
      <c r="H111" s="49"/>
      <c r="I111" s="49"/>
      <c r="J111" s="49"/>
    </row>
    <row r="112" spans="1:10">
      <c r="A112" s="49"/>
      <c r="B112" s="49"/>
      <c r="C112" s="49"/>
      <c r="D112" s="49"/>
      <c r="E112" s="49"/>
      <c r="F112" s="49"/>
      <c r="G112" s="49"/>
      <c r="H112" s="49"/>
      <c r="I112" s="49"/>
      <c r="J112" s="49"/>
    </row>
    <row r="113" spans="1:10">
      <c r="A113" s="49"/>
      <c r="B113" s="49"/>
      <c r="C113" s="49"/>
      <c r="D113" s="49"/>
      <c r="E113" s="49"/>
      <c r="F113" s="49"/>
      <c r="G113" s="49"/>
      <c r="H113" s="49"/>
      <c r="I113" s="49"/>
      <c r="J113" s="49"/>
    </row>
    <row r="114" spans="1:10">
      <c r="A114" s="49"/>
      <c r="B114" s="49"/>
      <c r="C114" s="49"/>
      <c r="D114" s="49"/>
      <c r="E114" s="49"/>
      <c r="F114" s="49"/>
      <c r="G114" s="49"/>
      <c r="H114" s="49"/>
      <c r="I114" s="49"/>
      <c r="J114" s="49"/>
    </row>
    <row r="115" spans="1:10">
      <c r="A115" s="49"/>
      <c r="B115" s="49"/>
      <c r="C115" s="49"/>
      <c r="D115" s="49"/>
      <c r="E115" s="49"/>
      <c r="F115" s="49"/>
      <c r="G115" s="49"/>
      <c r="H115" s="49"/>
      <c r="I115" s="49"/>
      <c r="J115" s="49"/>
    </row>
    <row r="116" spans="1:10">
      <c r="A116" s="49"/>
      <c r="B116" s="49"/>
      <c r="C116" s="49"/>
      <c r="D116" s="49"/>
      <c r="E116" s="49"/>
      <c r="F116" s="49"/>
      <c r="G116" s="49"/>
      <c r="H116" s="49"/>
      <c r="I116" s="49"/>
      <c r="J116" s="49"/>
    </row>
    <row r="117" spans="1:10">
      <c r="A117" s="49"/>
      <c r="B117" s="49"/>
      <c r="C117" s="49"/>
      <c r="D117" s="49"/>
      <c r="E117" s="49"/>
      <c r="F117" s="49"/>
      <c r="G117" s="49"/>
      <c r="H117" s="49"/>
      <c r="I117" s="49"/>
      <c r="J117" s="49"/>
    </row>
  </sheetData>
  <mergeCells count="11">
    <mergeCell ref="J24:J25"/>
    <mergeCell ref="B24:B33"/>
    <mergeCell ref="A24:A33"/>
    <mergeCell ref="A7:J7"/>
    <mergeCell ref="J17:J18"/>
    <mergeCell ref="J10:J13"/>
    <mergeCell ref="A17:A22"/>
    <mergeCell ref="B17:B22"/>
    <mergeCell ref="J21:J22"/>
    <mergeCell ref="A10:A14"/>
    <mergeCell ref="B10:B14"/>
  </mergeCells>
  <pageMargins left="0.59055118110236227" right="0.39370078740157483" top="0.39370078740157483" bottom="0.39370078740157483" header="0.31496062992125984" footer="0.31496062992125984"/>
  <pageSetup paperSize="9" scale="8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4"/>
  <sheetViews>
    <sheetView zoomScale="70" zoomScaleNormal="70" workbookViewId="0">
      <selection activeCell="AF22" sqref="AF22"/>
    </sheetView>
  </sheetViews>
  <sheetFormatPr defaultColWidth="9.140625" defaultRowHeight="15.75"/>
  <cols>
    <col min="1" max="1" width="3.5703125" style="338" bestFit="1" customWidth="1"/>
    <col min="2" max="2" width="27.28515625" style="338" customWidth="1"/>
    <col min="3" max="3" width="5.28515625" style="338" customWidth="1"/>
    <col min="4" max="4" width="7.7109375" style="338" customWidth="1"/>
    <col min="5" max="5" width="6" style="338" customWidth="1"/>
    <col min="6" max="6" width="9.28515625" style="338" customWidth="1"/>
    <col min="7" max="7" width="6.7109375" style="338" customWidth="1"/>
    <col min="8" max="8" width="9.5703125" style="338" customWidth="1"/>
    <col min="9" max="9" width="10.42578125" style="338" customWidth="1"/>
    <col min="10" max="11" width="9.42578125" style="338" hidden="1" customWidth="1"/>
    <col min="12" max="12" width="6.42578125" style="338" customWidth="1"/>
    <col min="13" max="13" width="9.85546875" style="338" customWidth="1"/>
    <col min="14" max="14" width="6.5703125" style="338" customWidth="1"/>
    <col min="15" max="15" width="10.85546875" style="338" customWidth="1"/>
    <col min="16" max="16" width="5.7109375" style="338" hidden="1" customWidth="1"/>
    <col min="17" max="17" width="9.140625" style="338" hidden="1" customWidth="1"/>
    <col min="18" max="18" width="11.85546875" style="338" customWidth="1"/>
    <col min="19" max="19" width="10.5703125" style="338" customWidth="1"/>
    <col min="20" max="20" width="10.140625" style="338" customWidth="1"/>
    <col min="21" max="21" width="14.28515625" style="338" customWidth="1"/>
    <col min="22" max="22" width="8.5703125" style="338" hidden="1" customWidth="1"/>
    <col min="23" max="23" width="10.28515625" style="338" customWidth="1"/>
    <col min="24" max="24" width="10" style="338" customWidth="1"/>
    <col min="25" max="25" width="11.28515625" style="338" customWidth="1"/>
    <col min="26" max="26" width="10" style="338" customWidth="1"/>
    <col min="27" max="27" width="11" style="338" customWidth="1"/>
    <col min="28" max="16384" width="9.140625" style="338"/>
  </cols>
  <sheetData>
    <row r="1" spans="1:28">
      <c r="A1" s="337"/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AA1" s="409" t="s">
        <v>0</v>
      </c>
    </row>
    <row r="2" spans="1:28">
      <c r="A2" s="337"/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AA2" s="410" t="s">
        <v>296</v>
      </c>
    </row>
    <row r="3" spans="1:28">
      <c r="A3" s="337"/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AA3" s="409" t="s">
        <v>434</v>
      </c>
    </row>
    <row r="4" spans="1:28">
      <c r="A4" s="337"/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AA4" s="409" t="s">
        <v>437</v>
      </c>
    </row>
    <row r="5" spans="1:28">
      <c r="A5" s="337"/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337"/>
      <c r="Q5" s="337"/>
      <c r="R5" s="337"/>
      <c r="S5" s="337"/>
      <c r="T5" s="337"/>
      <c r="U5" s="337"/>
      <c r="V5" s="337"/>
      <c r="W5" s="337"/>
      <c r="AA5" s="341" t="s">
        <v>388</v>
      </c>
    </row>
    <row r="6" spans="1:28">
      <c r="A6" s="337"/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337"/>
      <c r="Q6" s="337"/>
      <c r="R6" s="337"/>
      <c r="S6" s="337"/>
      <c r="T6" s="337"/>
      <c r="U6" s="337"/>
      <c r="V6" s="337"/>
      <c r="W6" s="337"/>
      <c r="X6" s="339"/>
    </row>
    <row r="7" spans="1:28">
      <c r="A7" s="337"/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/>
      <c r="O7" s="337"/>
      <c r="P7" s="337"/>
      <c r="Q7" s="337"/>
      <c r="R7" s="337"/>
      <c r="S7" s="337"/>
      <c r="T7" s="337"/>
      <c r="U7" s="337"/>
      <c r="V7" s="337"/>
      <c r="W7" s="337"/>
      <c r="X7" s="339"/>
    </row>
    <row r="8" spans="1:28">
      <c r="A8" s="471" t="s">
        <v>408</v>
      </c>
      <c r="B8" s="471"/>
      <c r="C8" s="471"/>
      <c r="D8" s="471"/>
      <c r="E8" s="471"/>
      <c r="F8" s="471"/>
      <c r="G8" s="471"/>
      <c r="H8" s="471"/>
      <c r="I8" s="471"/>
      <c r="J8" s="471"/>
      <c r="K8" s="471"/>
      <c r="L8" s="471"/>
      <c r="M8" s="471"/>
      <c r="N8" s="471"/>
      <c r="O8" s="471"/>
      <c r="P8" s="471"/>
      <c r="Q8" s="471"/>
      <c r="R8" s="471"/>
      <c r="S8" s="471"/>
      <c r="T8" s="471"/>
      <c r="U8" s="471"/>
      <c r="V8" s="471"/>
      <c r="W8" s="471"/>
      <c r="X8" s="471"/>
      <c r="Y8" s="471"/>
      <c r="Z8" s="471"/>
      <c r="AA8" s="471"/>
    </row>
    <row r="9" spans="1:28">
      <c r="A9" s="337"/>
      <c r="B9" s="337"/>
      <c r="C9" s="337"/>
      <c r="D9" s="337"/>
      <c r="E9" s="337"/>
      <c r="F9" s="337"/>
      <c r="G9" s="337"/>
      <c r="H9" s="337"/>
      <c r="I9" s="337"/>
      <c r="J9" s="337"/>
      <c r="K9" s="337"/>
      <c r="L9" s="337"/>
      <c r="M9" s="337"/>
      <c r="N9" s="337"/>
      <c r="O9" s="337"/>
      <c r="P9" s="337"/>
      <c r="Q9" s="337"/>
      <c r="R9" s="337"/>
      <c r="S9" s="337"/>
      <c r="T9" s="337"/>
      <c r="U9" s="337"/>
      <c r="V9" s="337"/>
      <c r="W9" s="337"/>
      <c r="X9" s="337"/>
    </row>
    <row r="10" spans="1:28">
      <c r="A10" s="472" t="s">
        <v>2</v>
      </c>
      <c r="B10" s="472" t="s">
        <v>31</v>
      </c>
      <c r="C10" s="472" t="s">
        <v>32</v>
      </c>
      <c r="D10" s="472" t="s">
        <v>33</v>
      </c>
      <c r="E10" s="472" t="s">
        <v>359</v>
      </c>
      <c r="F10" s="475" t="s">
        <v>36</v>
      </c>
      <c r="G10" s="478" t="s">
        <v>360</v>
      </c>
      <c r="H10" s="479"/>
      <c r="I10" s="479"/>
      <c r="J10" s="479"/>
      <c r="K10" s="479"/>
      <c r="L10" s="479"/>
      <c r="M10" s="479"/>
      <c r="N10" s="479"/>
      <c r="O10" s="479"/>
      <c r="P10" s="479"/>
      <c r="Q10" s="480"/>
      <c r="R10" s="472" t="s">
        <v>41</v>
      </c>
      <c r="S10" s="481" t="s">
        <v>361</v>
      </c>
      <c r="T10" s="472" t="s">
        <v>362</v>
      </c>
      <c r="U10" s="472" t="s">
        <v>363</v>
      </c>
      <c r="V10" s="472" t="s">
        <v>364</v>
      </c>
      <c r="W10" s="472" t="s">
        <v>365</v>
      </c>
      <c r="X10" s="472" t="s">
        <v>366</v>
      </c>
      <c r="Y10" s="472" t="s">
        <v>367</v>
      </c>
      <c r="Z10" s="472" t="s">
        <v>368</v>
      </c>
      <c r="AA10" s="472" t="s">
        <v>369</v>
      </c>
    </row>
    <row r="11" spans="1:28" ht="137.44999999999999" customHeight="1">
      <c r="A11" s="473"/>
      <c r="B11" s="473"/>
      <c r="C11" s="473"/>
      <c r="D11" s="473"/>
      <c r="E11" s="473"/>
      <c r="F11" s="476"/>
      <c r="G11" s="485" t="s">
        <v>370</v>
      </c>
      <c r="H11" s="486"/>
      <c r="I11" s="342" t="s">
        <v>38</v>
      </c>
      <c r="J11" s="485" t="s">
        <v>371</v>
      </c>
      <c r="K11" s="486"/>
      <c r="L11" s="485" t="s">
        <v>372</v>
      </c>
      <c r="M11" s="486"/>
      <c r="N11" s="485" t="s">
        <v>39</v>
      </c>
      <c r="O11" s="486"/>
      <c r="P11" s="487" t="s">
        <v>373</v>
      </c>
      <c r="Q11" s="488"/>
      <c r="R11" s="474"/>
      <c r="S11" s="481"/>
      <c r="T11" s="474"/>
      <c r="U11" s="474"/>
      <c r="V11" s="474"/>
      <c r="W11" s="474"/>
      <c r="X11" s="474"/>
      <c r="Y11" s="474"/>
      <c r="Z11" s="474"/>
      <c r="AA11" s="474"/>
    </row>
    <row r="12" spans="1:28">
      <c r="A12" s="474"/>
      <c r="B12" s="474"/>
      <c r="C12" s="474"/>
      <c r="D12" s="474"/>
      <c r="E12" s="474"/>
      <c r="F12" s="477"/>
      <c r="G12" s="343" t="s">
        <v>5</v>
      </c>
      <c r="H12" s="343" t="s">
        <v>44</v>
      </c>
      <c r="I12" s="343" t="s">
        <v>44</v>
      </c>
      <c r="J12" s="343" t="s">
        <v>5</v>
      </c>
      <c r="K12" s="343" t="s">
        <v>44</v>
      </c>
      <c r="L12" s="343" t="s">
        <v>5</v>
      </c>
      <c r="M12" s="343" t="s">
        <v>44</v>
      </c>
      <c r="N12" s="343" t="s">
        <v>5</v>
      </c>
      <c r="O12" s="343" t="s">
        <v>44</v>
      </c>
      <c r="P12" s="343" t="s">
        <v>5</v>
      </c>
      <c r="Q12" s="343" t="s">
        <v>44</v>
      </c>
      <c r="R12" s="343" t="s">
        <v>44</v>
      </c>
      <c r="S12" s="343" t="s">
        <v>44</v>
      </c>
      <c r="T12" s="343" t="s">
        <v>44</v>
      </c>
      <c r="U12" s="343" t="s">
        <v>44</v>
      </c>
      <c r="V12" s="343" t="s">
        <v>44</v>
      </c>
      <c r="W12" s="343" t="s">
        <v>44</v>
      </c>
      <c r="X12" s="343" t="s">
        <v>44</v>
      </c>
      <c r="Y12" s="343" t="s">
        <v>44</v>
      </c>
      <c r="Z12" s="343" t="s">
        <v>44</v>
      </c>
      <c r="AA12" s="343" t="s">
        <v>44</v>
      </c>
    </row>
    <row r="13" spans="1:28">
      <c r="A13" s="343">
        <v>1</v>
      </c>
      <c r="B13" s="343">
        <v>2</v>
      </c>
      <c r="C13" s="343">
        <v>3</v>
      </c>
      <c r="D13" s="343">
        <v>4</v>
      </c>
      <c r="E13" s="343">
        <v>5</v>
      </c>
      <c r="F13" s="343">
        <v>6</v>
      </c>
      <c r="G13" s="343">
        <v>7</v>
      </c>
      <c r="H13" s="343">
        <v>8</v>
      </c>
      <c r="I13" s="343">
        <v>9</v>
      </c>
      <c r="J13" s="343">
        <v>10</v>
      </c>
      <c r="K13" s="343">
        <v>11</v>
      </c>
      <c r="L13" s="343">
        <v>10</v>
      </c>
      <c r="M13" s="343">
        <v>11</v>
      </c>
      <c r="N13" s="343">
        <v>12</v>
      </c>
      <c r="O13" s="343">
        <v>13</v>
      </c>
      <c r="P13" s="343">
        <v>12</v>
      </c>
      <c r="Q13" s="343">
        <v>13</v>
      </c>
      <c r="R13" s="343">
        <v>14</v>
      </c>
      <c r="S13" s="343">
        <v>15</v>
      </c>
      <c r="T13" s="343">
        <v>16</v>
      </c>
      <c r="U13" s="343">
        <v>17</v>
      </c>
      <c r="V13" s="344" t="s">
        <v>374</v>
      </c>
      <c r="W13" s="344" t="s">
        <v>379</v>
      </c>
      <c r="X13" s="344" t="s">
        <v>389</v>
      </c>
      <c r="Y13" s="344" t="s">
        <v>390</v>
      </c>
      <c r="Z13" s="344" t="s">
        <v>391</v>
      </c>
      <c r="AA13" s="344" t="s">
        <v>392</v>
      </c>
    </row>
    <row r="14" spans="1:28">
      <c r="A14" s="482" t="s">
        <v>409</v>
      </c>
      <c r="B14" s="483"/>
      <c r="C14" s="483"/>
      <c r="D14" s="483"/>
      <c r="E14" s="483"/>
      <c r="F14" s="483"/>
      <c r="G14" s="483"/>
      <c r="H14" s="483"/>
      <c r="I14" s="483"/>
      <c r="J14" s="483"/>
      <c r="K14" s="483"/>
      <c r="L14" s="483"/>
      <c r="M14" s="483"/>
      <c r="N14" s="483"/>
      <c r="O14" s="483"/>
      <c r="P14" s="483"/>
      <c r="Q14" s="483"/>
      <c r="R14" s="483"/>
      <c r="S14" s="483"/>
      <c r="T14" s="483"/>
      <c r="U14" s="483"/>
      <c r="V14" s="483"/>
      <c r="W14" s="483"/>
      <c r="X14" s="483"/>
      <c r="Y14" s="483"/>
      <c r="Z14" s="483"/>
      <c r="AA14" s="484"/>
    </row>
    <row r="15" spans="1:28" ht="33" customHeight="1">
      <c r="A15" s="345">
        <v>1</v>
      </c>
      <c r="B15" s="346" t="s">
        <v>393</v>
      </c>
      <c r="C15" s="345">
        <v>1</v>
      </c>
      <c r="D15" s="345">
        <v>7040</v>
      </c>
      <c r="E15" s="345">
        <v>2.81</v>
      </c>
      <c r="F15" s="347">
        <f t="shared" ref="F15" si="0">+D15*E15</f>
        <v>19782.400000000001</v>
      </c>
      <c r="G15" s="348">
        <v>0.15</v>
      </c>
      <c r="H15" s="349">
        <f t="shared" ref="H15" si="1">F15*G15</f>
        <v>2967.36</v>
      </c>
      <c r="I15" s="345"/>
      <c r="J15" s="348"/>
      <c r="K15" s="345"/>
      <c r="L15" s="348">
        <v>0.1</v>
      </c>
      <c r="M15" s="349">
        <f t="shared" ref="M15" si="2">+F15*L15</f>
        <v>1978.2400000000002</v>
      </c>
      <c r="N15" s="350">
        <v>0.2</v>
      </c>
      <c r="O15" s="349">
        <f t="shared" ref="O15" si="3">N15*F15</f>
        <v>3956.4800000000005</v>
      </c>
      <c r="P15" s="348"/>
      <c r="Q15" s="351">
        <f t="shared" ref="Q15" si="4">F15*P15</f>
        <v>0</v>
      </c>
      <c r="R15" s="349">
        <f t="shared" ref="R15" si="5">F15+H15+I15+K15+Q15+M15+O15</f>
        <v>28684.480000000003</v>
      </c>
      <c r="S15" s="349">
        <f t="shared" ref="S15" si="6">R15</f>
        <v>28684.480000000003</v>
      </c>
      <c r="T15" s="349"/>
      <c r="U15" s="349"/>
      <c r="V15" s="349"/>
      <c r="W15" s="349"/>
      <c r="X15" s="349">
        <f>7000*6</f>
        <v>42000</v>
      </c>
      <c r="Y15" s="349">
        <f>(S15*6)+W15+X15</f>
        <v>214106.88</v>
      </c>
      <c r="Z15" s="349">
        <f>((S15*6)+W15)*0.1725</f>
        <v>29688.436799999999</v>
      </c>
      <c r="AA15" s="349">
        <f t="shared" ref="AA15" si="7">Y15+Z15</f>
        <v>243795.3168</v>
      </c>
      <c r="AB15" s="352"/>
    </row>
    <row r="16" spans="1:28" ht="31.5">
      <c r="A16" s="343"/>
      <c r="B16" s="343" t="s">
        <v>46</v>
      </c>
      <c r="C16" s="343">
        <f>SUM(C15:C15)</f>
        <v>1</v>
      </c>
      <c r="D16" s="353">
        <f>SUM(D15:D15)</f>
        <v>7040</v>
      </c>
      <c r="E16" s="353"/>
      <c r="F16" s="353">
        <f>SUM(F15:F15)</f>
        <v>19782.400000000001</v>
      </c>
      <c r="G16" s="353"/>
      <c r="H16" s="353">
        <f>SUM(H15:H15)</f>
        <v>2967.36</v>
      </c>
      <c r="I16" s="353">
        <f>SUM(I15:I15)</f>
        <v>0</v>
      </c>
      <c r="J16" s="353">
        <f>SUM(J15:J15)</f>
        <v>0</v>
      </c>
      <c r="K16" s="353">
        <f>SUM(K15:K15)</f>
        <v>0</v>
      </c>
      <c r="L16" s="353"/>
      <c r="M16" s="353">
        <f t="shared" ref="M16:AA16" si="8">SUM(M15:M15)</f>
        <v>1978.2400000000002</v>
      </c>
      <c r="N16" s="353">
        <f t="shared" si="8"/>
        <v>0.2</v>
      </c>
      <c r="O16" s="353">
        <f t="shared" si="8"/>
        <v>3956.4800000000005</v>
      </c>
      <c r="P16" s="353">
        <f t="shared" si="8"/>
        <v>0</v>
      </c>
      <c r="Q16" s="354">
        <f t="shared" si="8"/>
        <v>0</v>
      </c>
      <c r="R16" s="353">
        <f t="shared" si="8"/>
        <v>28684.480000000003</v>
      </c>
      <c r="S16" s="353">
        <f t="shared" si="8"/>
        <v>28684.480000000003</v>
      </c>
      <c r="T16" s="353">
        <f t="shared" si="8"/>
        <v>0</v>
      </c>
      <c r="U16" s="353">
        <f t="shared" si="8"/>
        <v>0</v>
      </c>
      <c r="V16" s="353">
        <f t="shared" si="8"/>
        <v>0</v>
      </c>
      <c r="W16" s="353">
        <f t="shared" si="8"/>
        <v>0</v>
      </c>
      <c r="X16" s="353">
        <f t="shared" si="8"/>
        <v>42000</v>
      </c>
      <c r="Y16" s="353">
        <f t="shared" si="8"/>
        <v>214106.88</v>
      </c>
      <c r="Z16" s="353">
        <f t="shared" si="8"/>
        <v>29688.436799999999</v>
      </c>
      <c r="AA16" s="353">
        <f t="shared" si="8"/>
        <v>243795.3168</v>
      </c>
      <c r="AB16" s="352"/>
    </row>
    <row r="17" spans="1:29">
      <c r="A17" s="482" t="s">
        <v>411</v>
      </c>
      <c r="B17" s="483"/>
      <c r="C17" s="483"/>
      <c r="D17" s="483"/>
      <c r="E17" s="483"/>
      <c r="F17" s="483"/>
      <c r="G17" s="483"/>
      <c r="H17" s="483"/>
      <c r="I17" s="483"/>
      <c r="J17" s="483"/>
      <c r="K17" s="483"/>
      <c r="L17" s="483"/>
      <c r="M17" s="483"/>
      <c r="N17" s="483"/>
      <c r="O17" s="483"/>
      <c r="P17" s="483"/>
      <c r="Q17" s="483"/>
      <c r="R17" s="483"/>
      <c r="S17" s="483"/>
      <c r="T17" s="483"/>
      <c r="U17" s="483"/>
      <c r="V17" s="483"/>
      <c r="W17" s="483"/>
      <c r="X17" s="483"/>
      <c r="Y17" s="483"/>
      <c r="Z17" s="483"/>
      <c r="AA17" s="484"/>
      <c r="AB17" s="352"/>
    </row>
    <row r="18" spans="1:29" ht="28.15" customHeight="1">
      <c r="A18" s="345">
        <v>18</v>
      </c>
      <c r="B18" s="346" t="s">
        <v>410</v>
      </c>
      <c r="C18" s="345">
        <v>1</v>
      </c>
      <c r="D18" s="345">
        <v>7040</v>
      </c>
      <c r="E18" s="345">
        <v>1</v>
      </c>
      <c r="F18" s="347">
        <f t="shared" ref="F18" si="9">+D18*E18</f>
        <v>7040</v>
      </c>
      <c r="G18" s="348"/>
      <c r="H18" s="349"/>
      <c r="I18" s="345"/>
      <c r="J18" s="348"/>
      <c r="K18" s="345"/>
      <c r="L18" s="348"/>
      <c r="M18" s="349"/>
      <c r="N18" s="350"/>
      <c r="O18" s="349">
        <v>7200</v>
      </c>
      <c r="P18" s="348"/>
      <c r="Q18" s="351"/>
      <c r="R18" s="349">
        <f t="shared" ref="R18" si="10">+F18+H18+I18+K18+O18+Q18</f>
        <v>14240</v>
      </c>
      <c r="S18" s="349">
        <f t="shared" ref="S18" si="11">R18*C18</f>
        <v>14240</v>
      </c>
      <c r="T18" s="349"/>
      <c r="U18" s="349"/>
      <c r="V18" s="349"/>
      <c r="W18" s="349"/>
      <c r="X18" s="349"/>
      <c r="Y18" s="349">
        <f>(S18*7)+T18+U18+W18</f>
        <v>99680</v>
      </c>
      <c r="Z18" s="349">
        <f>((S18*7)+T18+W18)*0.1725</f>
        <v>17194.8</v>
      </c>
      <c r="AA18" s="349">
        <f t="shared" ref="AA18" si="12">Y18+Z18+X18</f>
        <v>116874.8</v>
      </c>
      <c r="AB18" s="352"/>
    </row>
    <row r="19" spans="1:29" ht="31.5">
      <c r="A19" s="343"/>
      <c r="B19" s="343" t="s">
        <v>46</v>
      </c>
      <c r="C19" s="343">
        <f>SUM(C18:C18)</f>
        <v>1</v>
      </c>
      <c r="D19" s="353">
        <f>SUM(D18:D18)</f>
        <v>7040</v>
      </c>
      <c r="E19" s="353"/>
      <c r="F19" s="353">
        <f>SUM(F18:F18)</f>
        <v>7040</v>
      </c>
      <c r="G19" s="353"/>
      <c r="H19" s="353">
        <f>SUM(H18:H18)</f>
        <v>0</v>
      </c>
      <c r="I19" s="353">
        <f>SUM(I18:I18)</f>
        <v>0</v>
      </c>
      <c r="J19" s="353">
        <f>SUM(J18:J18)</f>
        <v>0</v>
      </c>
      <c r="K19" s="353">
        <f>SUM(K18:K18)</f>
        <v>0</v>
      </c>
      <c r="L19" s="353"/>
      <c r="M19" s="353">
        <f t="shared" ref="M19" si="13">SUM(M18:M18)</f>
        <v>0</v>
      </c>
      <c r="N19" s="353">
        <f t="shared" ref="N19" si="14">SUM(N18:N18)</f>
        <v>0</v>
      </c>
      <c r="O19" s="353">
        <f t="shared" ref="O19" si="15">SUM(O18:O18)</f>
        <v>7200</v>
      </c>
      <c r="P19" s="353">
        <f t="shared" ref="P19" si="16">SUM(P18:P18)</f>
        <v>0</v>
      </c>
      <c r="Q19" s="354">
        <f t="shared" ref="Q19" si="17">SUM(Q18:Q18)</f>
        <v>0</v>
      </c>
      <c r="R19" s="353">
        <f t="shared" ref="R19" si="18">SUM(R18:R18)</f>
        <v>14240</v>
      </c>
      <c r="S19" s="353">
        <f t="shared" ref="S19" si="19">SUM(S18:S18)</f>
        <v>14240</v>
      </c>
      <c r="T19" s="353">
        <f t="shared" ref="T19" si="20">SUM(T18:T18)</f>
        <v>0</v>
      </c>
      <c r="U19" s="353">
        <f t="shared" ref="U19" si="21">SUM(U18:U18)</f>
        <v>0</v>
      </c>
      <c r="V19" s="353">
        <f t="shared" ref="V19" si="22">SUM(V18:V18)</f>
        <v>0</v>
      </c>
      <c r="W19" s="353">
        <f t="shared" ref="W19" si="23">SUM(W18:W18)</f>
        <v>0</v>
      </c>
      <c r="X19" s="353">
        <f t="shared" ref="X19" si="24">SUM(X18:X18)</f>
        <v>0</v>
      </c>
      <c r="Y19" s="353">
        <f t="shared" ref="Y19" si="25">SUM(Y18:Y18)</f>
        <v>99680</v>
      </c>
      <c r="Z19" s="353">
        <f t="shared" ref="Z19" si="26">SUM(Z18:Z18)</f>
        <v>17194.8</v>
      </c>
      <c r="AA19" s="353">
        <f t="shared" ref="AA19" si="27">SUM(AA18:AA18)</f>
        <v>116874.8</v>
      </c>
      <c r="AB19" s="352"/>
    </row>
    <row r="20" spans="1:29">
      <c r="A20" s="369"/>
      <c r="B20" s="369"/>
      <c r="C20" s="369"/>
      <c r="D20" s="370"/>
      <c r="E20" s="370"/>
      <c r="F20" s="370"/>
      <c r="G20" s="370"/>
      <c r="H20" s="370"/>
      <c r="I20" s="370"/>
      <c r="J20" s="370"/>
      <c r="K20" s="370"/>
      <c r="L20" s="370"/>
      <c r="M20" s="370"/>
      <c r="N20" s="370"/>
      <c r="O20" s="370"/>
      <c r="P20" s="370"/>
      <c r="Q20" s="371"/>
      <c r="R20" s="370"/>
      <c r="S20" s="370"/>
      <c r="T20" s="370"/>
      <c r="U20" s="370"/>
      <c r="V20" s="370"/>
      <c r="W20" s="370"/>
      <c r="X20" s="370"/>
      <c r="Y20" s="370"/>
      <c r="Z20" s="370"/>
      <c r="AA20" s="370"/>
      <c r="AB20" s="352"/>
    </row>
    <row r="21" spans="1:29">
      <c r="X21" s="352"/>
      <c r="Y21" s="355"/>
      <c r="Z21" s="355"/>
      <c r="AA21" s="352"/>
    </row>
    <row r="22" spans="1:29">
      <c r="B22" s="356" t="s">
        <v>111</v>
      </c>
      <c r="Y22" s="355"/>
      <c r="Z22" s="357"/>
      <c r="AA22" s="355"/>
      <c r="AC22" s="352"/>
    </row>
    <row r="23" spans="1:29">
      <c r="Y23" s="355"/>
      <c r="Z23" s="352"/>
      <c r="AA23" s="352"/>
    </row>
    <row r="24" spans="1:29">
      <c r="X24" s="352"/>
    </row>
  </sheetData>
  <mergeCells count="25">
    <mergeCell ref="A14:AA14"/>
    <mergeCell ref="A17:AA17"/>
    <mergeCell ref="Z10:Z11"/>
    <mergeCell ref="AA10:AA11"/>
    <mergeCell ref="G11:H11"/>
    <mergeCell ref="J11:K11"/>
    <mergeCell ref="L11:M11"/>
    <mergeCell ref="N11:O11"/>
    <mergeCell ref="P11:Q11"/>
    <mergeCell ref="T10:T11"/>
    <mergeCell ref="U10:U11"/>
    <mergeCell ref="V10:V11"/>
    <mergeCell ref="W10:W11"/>
    <mergeCell ref="X10:X11"/>
    <mergeCell ref="Y10:Y11"/>
    <mergeCell ref="A8:AA8"/>
    <mergeCell ref="A10:A12"/>
    <mergeCell ref="B10:B12"/>
    <mergeCell ref="C10:C12"/>
    <mergeCell ref="D10:D12"/>
    <mergeCell ref="E10:E12"/>
    <mergeCell ref="F10:F12"/>
    <mergeCell ref="G10:Q10"/>
    <mergeCell ref="R10:R11"/>
    <mergeCell ref="S10:S11"/>
  </mergeCells>
  <pageMargins left="0.39370078740157483" right="0.39370078740157483" top="0.59055118110236227" bottom="0.39370078740157483" header="0.31496062992125984" footer="0.31496062992125984"/>
  <pageSetup paperSize="9" scale="6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5</vt:i4>
      </vt:variant>
    </vt:vector>
  </HeadingPairs>
  <TitlesOfParts>
    <vt:vector size="20" baseType="lpstr">
      <vt:lpstr>өзгөртүүлөр бюджет</vt:lpstr>
      <vt:lpstr>өзгөртүүлөр атайын эсеп</vt:lpstr>
      <vt:lpstr>Т 1</vt:lpstr>
      <vt:lpstr>Кенешке сунушталган</vt:lpstr>
      <vt:lpstr>Кенешке тактоо</vt:lpstr>
      <vt:lpstr>Кенештеги акыркысы-послед</vt:lpstr>
      <vt:lpstr>Т2 бюджет</vt:lpstr>
      <vt:lpstr>Т3 атайын эсеп</vt:lpstr>
      <vt:lpstr>Т4 Штаттык бирдиктер</vt:lpstr>
      <vt:lpstr>Т5 Штаттык бирдик атайын эсеп</vt:lpstr>
      <vt:lpstr>Т4 Маалымат борбору</vt:lpstr>
      <vt:lpstr>Лист2</vt:lpstr>
      <vt:lpstr>Маданият болуму</vt:lpstr>
      <vt:lpstr>Лист1</vt:lpstr>
      <vt:lpstr>Лист4</vt:lpstr>
      <vt:lpstr>'Кенешке сунушталган'!Заголовки_для_печати</vt:lpstr>
      <vt:lpstr>'өзгөртүүлөр бюджет'!Заголовки_для_печати</vt:lpstr>
      <vt:lpstr>'Т 1'!Заголовки_для_печати</vt:lpstr>
      <vt:lpstr>'Т2 бюджет'!Заголовки_для_печати</vt:lpstr>
      <vt:lpstr>'Т2 бюджет'!Область_печати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Nurbek Haitkulov</dc:creator>
  <cp:lastModifiedBy>Пользователь</cp:lastModifiedBy>
  <cp:lastPrinted>2023-05-30T10:23:56Z</cp:lastPrinted>
  <dcterms:created xsi:type="dcterms:W3CDTF">2019-01-14T08:31:43Z</dcterms:created>
  <dcterms:modified xsi:type="dcterms:W3CDTF">2023-05-31T06:23:14Z</dcterms:modified>
</cp:coreProperties>
</file>