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ссии 9 созыв\26 сессия\"/>
    </mc:Choice>
  </mc:AlternateContent>
  <bookViews>
    <workbookView xWindow="-105" yWindow="-105" windowWidth="23250" windowHeight="13170" tabRatio="715" firstSheet="2" activeTab="7"/>
  </bookViews>
  <sheets>
    <sheet name="өзгөртүүлөр бюджет" sheetId="49" state="hidden" r:id="rId1"/>
    <sheet name="өзгөртүүлөр атайын эсеп" sheetId="59" state="hidden" r:id="rId2"/>
    <sheet name="Т 1" sheetId="1" r:id="rId3"/>
    <sheet name="Т2" sheetId="57" r:id="rId4"/>
    <sheet name="Т2а" sheetId="58" r:id="rId5"/>
    <sheet name="Т 3 " sheetId="47" r:id="rId6"/>
    <sheet name="Т 4" sheetId="4" r:id="rId7"/>
    <sheet name="Т 4а" sheetId="5" r:id="rId8"/>
    <sheet name="Маданият болуму" sheetId="20" state="hidden" r:id="rId9"/>
  </sheets>
  <externalReferences>
    <externalReference r:id="rId10"/>
    <externalReference r:id="rId11"/>
  </externalReferences>
  <definedNames>
    <definedName name="_xlnm.Print_Titles" localSheetId="0">'өзгөртүүлөр бюджет'!$4:$5</definedName>
    <definedName name="_xlnm.Print_Titles" localSheetId="2">'Т 1'!$9:$11</definedName>
    <definedName name="об" localSheetId="2">[1]объяс.Iполугод.!#REF!</definedName>
    <definedName name="об" localSheetId="7">[1]объяс.Iполугод.!#REF!</definedName>
    <definedName name="об">[1]объяс.Iполугод.!#REF!</definedName>
    <definedName name="ололо" localSheetId="2">[2]объяс.Iполугод.!#REF!</definedName>
    <definedName name="ололо" localSheetId="7">[2]объяс.Iполугод.!#REF!</definedName>
    <definedName name="ололо">[2]объяс.Iполугод.!#REF!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7" l="1"/>
  <c r="O14" i="57"/>
  <c r="I14" i="57"/>
  <c r="Z14" i="57"/>
  <c r="Y39" i="57"/>
  <c r="Y31" i="57" l="1"/>
  <c r="D37" i="57"/>
  <c r="D29" i="57"/>
  <c r="D59" i="57"/>
  <c r="D47" i="57"/>
  <c r="E31" i="57"/>
  <c r="D16" i="57"/>
  <c r="W54" i="57"/>
  <c r="W53" i="57"/>
  <c r="W52" i="57"/>
  <c r="E16" i="57"/>
  <c r="E14" i="57"/>
  <c r="D14" i="57"/>
  <c r="K47" i="57"/>
  <c r="F29" i="57"/>
  <c r="K29" i="57"/>
  <c r="AB29" i="57"/>
  <c r="X14" i="57"/>
  <c r="K31" i="57"/>
  <c r="M52" i="1"/>
  <c r="J49" i="49"/>
  <c r="K115" i="49"/>
  <c r="J115" i="49"/>
  <c r="K111" i="49"/>
  <c r="L111" i="49" s="1"/>
  <c r="J111" i="49"/>
  <c r="J106" i="49"/>
  <c r="K105" i="49"/>
  <c r="K104" i="49"/>
  <c r="K100" i="49"/>
  <c r="K96" i="49"/>
  <c r="K89" i="49"/>
  <c r="J89" i="49"/>
  <c r="K73" i="49"/>
  <c r="K67" i="49"/>
  <c r="J63" i="49"/>
  <c r="K54" i="49"/>
  <c r="J54" i="49"/>
  <c r="K37" i="49"/>
  <c r="J37" i="49"/>
  <c r="J27" i="49"/>
  <c r="K26" i="49"/>
  <c r="K23" i="49"/>
  <c r="L23" i="49" s="1"/>
  <c r="J23" i="49"/>
  <c r="K21" i="49"/>
  <c r="K18" i="49"/>
  <c r="L18" i="49" s="1"/>
  <c r="J18" i="49"/>
  <c r="J14" i="49"/>
  <c r="K12" i="49"/>
  <c r="J12" i="49"/>
  <c r="E73" i="49"/>
  <c r="J73" i="49" s="1"/>
  <c r="L37" i="49" l="1"/>
  <c r="L115" i="49"/>
  <c r="L54" i="49"/>
  <c r="L89" i="49"/>
  <c r="L73" i="49"/>
  <c r="L12" i="49"/>
  <c r="M31" i="1"/>
  <c r="Z18" i="57"/>
  <c r="V40" i="57"/>
  <c r="Z52" i="57"/>
  <c r="Z53" i="57"/>
  <c r="O36" i="57"/>
  <c r="N29" i="57"/>
  <c r="C24" i="58"/>
  <c r="K26" i="58"/>
  <c r="O12" i="1"/>
  <c r="V55" i="57"/>
  <c r="E37" i="57"/>
  <c r="F48" i="49"/>
  <c r="F44" i="49"/>
  <c r="F18" i="59" l="1"/>
  <c r="G18" i="59"/>
  <c r="H18" i="59"/>
  <c r="I18" i="59"/>
  <c r="E18" i="59"/>
  <c r="D18" i="59"/>
  <c r="F58" i="49"/>
  <c r="K63" i="49" s="1"/>
  <c r="L63" i="49" s="1"/>
  <c r="F47" i="49"/>
  <c r="F119" i="49" l="1"/>
  <c r="K49" i="49"/>
  <c r="K119" i="49" s="1"/>
  <c r="D119" i="49"/>
  <c r="N18" i="59"/>
  <c r="E21" i="57"/>
  <c r="K18" i="57"/>
  <c r="K21" i="57" s="1"/>
  <c r="E39" i="57"/>
  <c r="E41" i="57" s="1"/>
  <c r="D39" i="57"/>
  <c r="V41" i="57"/>
  <c r="Z37" i="57"/>
  <c r="C37" i="57"/>
  <c r="R43" i="57"/>
  <c r="R50" i="57" s="1"/>
  <c r="K43" i="57"/>
  <c r="S45" i="57"/>
  <c r="C45" i="57" s="1"/>
  <c r="E59" i="57"/>
  <c r="C31" i="58"/>
  <c r="Z30" i="58"/>
  <c r="Y30" i="58"/>
  <c r="X30" i="58"/>
  <c r="W30" i="58"/>
  <c r="U30" i="58"/>
  <c r="T30" i="58"/>
  <c r="S30" i="58"/>
  <c r="R30" i="58"/>
  <c r="Q30" i="58"/>
  <c r="P30" i="58"/>
  <c r="O30" i="58"/>
  <c r="N30" i="58"/>
  <c r="M30" i="58"/>
  <c r="L30" i="58"/>
  <c r="K30" i="58"/>
  <c r="J30" i="58"/>
  <c r="I30" i="58"/>
  <c r="H30" i="58"/>
  <c r="G30" i="58"/>
  <c r="F30" i="58"/>
  <c r="E30" i="58"/>
  <c r="D30" i="58"/>
  <c r="C28" i="58"/>
  <c r="Z26" i="58"/>
  <c r="Y26" i="58"/>
  <c r="X26" i="58"/>
  <c r="W26" i="58"/>
  <c r="V26" i="58"/>
  <c r="V12" i="58" s="1"/>
  <c r="U26" i="58"/>
  <c r="T26" i="58"/>
  <c r="S26" i="58"/>
  <c r="R26" i="58"/>
  <c r="Q26" i="58"/>
  <c r="P26" i="58"/>
  <c r="O26" i="58"/>
  <c r="N26" i="58"/>
  <c r="M26" i="58"/>
  <c r="L26" i="58"/>
  <c r="J26" i="58"/>
  <c r="I26" i="58"/>
  <c r="H26" i="58"/>
  <c r="G26" i="58"/>
  <c r="F26" i="58"/>
  <c r="E26" i="58"/>
  <c r="Z23" i="58"/>
  <c r="Y23" i="58"/>
  <c r="X23" i="58"/>
  <c r="W23" i="58"/>
  <c r="U23" i="58"/>
  <c r="T23" i="58"/>
  <c r="S23" i="58"/>
  <c r="R23" i="58"/>
  <c r="Q23" i="58"/>
  <c r="P23" i="58"/>
  <c r="O23" i="58"/>
  <c r="N23" i="58"/>
  <c r="M23" i="58"/>
  <c r="L23" i="58"/>
  <c r="K23" i="58"/>
  <c r="J23" i="58"/>
  <c r="I23" i="58"/>
  <c r="H23" i="58"/>
  <c r="G23" i="58"/>
  <c r="F23" i="58"/>
  <c r="E23" i="58"/>
  <c r="D23" i="58"/>
  <c r="C22" i="58"/>
  <c r="C21" i="58"/>
  <c r="C20" i="58"/>
  <c r="AA18" i="58"/>
  <c r="Z18" i="58"/>
  <c r="Y18" i="58"/>
  <c r="X18" i="58"/>
  <c r="W18" i="58"/>
  <c r="U18" i="58"/>
  <c r="T18" i="58"/>
  <c r="S18" i="58"/>
  <c r="R18" i="58"/>
  <c r="Q18" i="58"/>
  <c r="P18" i="58"/>
  <c r="O18" i="58"/>
  <c r="N18" i="58"/>
  <c r="M18" i="58"/>
  <c r="L18" i="58"/>
  <c r="K18" i="58"/>
  <c r="J18" i="58"/>
  <c r="I18" i="58"/>
  <c r="H18" i="58"/>
  <c r="G18" i="58"/>
  <c r="F18" i="58"/>
  <c r="E18" i="58"/>
  <c r="D18" i="58"/>
  <c r="C17" i="58"/>
  <c r="C18" i="58" s="1"/>
  <c r="AA15" i="58"/>
  <c r="Z15" i="58"/>
  <c r="Y15" i="58"/>
  <c r="X15" i="58"/>
  <c r="W15" i="58"/>
  <c r="U15" i="58"/>
  <c r="T15" i="58"/>
  <c r="S15" i="58"/>
  <c r="R15" i="58"/>
  <c r="Q15" i="58"/>
  <c r="P15" i="58"/>
  <c r="O15" i="58"/>
  <c r="N15" i="58"/>
  <c r="M15" i="58"/>
  <c r="L15" i="58"/>
  <c r="K15" i="58"/>
  <c r="J15" i="58"/>
  <c r="I15" i="58"/>
  <c r="H15" i="58"/>
  <c r="G15" i="58"/>
  <c r="F15" i="58"/>
  <c r="E15" i="58"/>
  <c r="D15" i="58"/>
  <c r="C14" i="58"/>
  <c r="C15" i="58" s="1"/>
  <c r="AC61" i="57"/>
  <c r="AB61" i="57"/>
  <c r="AA61" i="57"/>
  <c r="Z61" i="57"/>
  <c r="Y61" i="57"/>
  <c r="X61" i="57"/>
  <c r="W61" i="57"/>
  <c r="V61" i="57"/>
  <c r="U61" i="57"/>
  <c r="T61" i="57"/>
  <c r="S61" i="57"/>
  <c r="R61" i="57"/>
  <c r="Q61" i="57"/>
  <c r="P61" i="57"/>
  <c r="O61" i="57"/>
  <c r="N61" i="57"/>
  <c r="M61" i="57"/>
  <c r="L61" i="57"/>
  <c r="K61" i="57"/>
  <c r="J61" i="57"/>
  <c r="I61" i="57"/>
  <c r="H61" i="57"/>
  <c r="G61" i="57"/>
  <c r="F61" i="57"/>
  <c r="D61" i="57"/>
  <c r="C60" i="57"/>
  <c r="C58" i="57"/>
  <c r="AC56" i="57"/>
  <c r="AB56" i="57"/>
  <c r="AA56" i="57"/>
  <c r="Z56" i="57"/>
  <c r="Y56" i="57"/>
  <c r="X56" i="57"/>
  <c r="W56" i="57"/>
  <c r="V56" i="57"/>
  <c r="U56" i="57"/>
  <c r="T56" i="57"/>
  <c r="S56" i="57"/>
  <c r="R56" i="57"/>
  <c r="Q56" i="57"/>
  <c r="P56" i="57"/>
  <c r="O56" i="57"/>
  <c r="N56" i="57"/>
  <c r="M56" i="57"/>
  <c r="L56" i="57"/>
  <c r="K56" i="57"/>
  <c r="J56" i="57"/>
  <c r="I56" i="57"/>
  <c r="H56" i="57"/>
  <c r="G56" i="57"/>
  <c r="F56" i="57"/>
  <c r="E56" i="57"/>
  <c r="D56" i="57"/>
  <c r="C55" i="57"/>
  <c r="C54" i="57"/>
  <c r="C53" i="57"/>
  <c r="C52" i="57"/>
  <c r="AC50" i="57"/>
  <c r="AB50" i="57"/>
  <c r="AA50" i="57"/>
  <c r="Z50" i="57"/>
  <c r="Y50" i="57"/>
  <c r="X50" i="57"/>
  <c r="W50" i="57"/>
  <c r="V50" i="57"/>
  <c r="U50" i="57"/>
  <c r="T50" i="57"/>
  <c r="Q50" i="57"/>
  <c r="P50" i="57"/>
  <c r="O50" i="57"/>
  <c r="N50" i="57"/>
  <c r="M50" i="57"/>
  <c r="L50" i="57"/>
  <c r="J50" i="57"/>
  <c r="I50" i="57"/>
  <c r="H50" i="57"/>
  <c r="G50" i="57"/>
  <c r="F50" i="57"/>
  <c r="E50" i="57"/>
  <c r="D50" i="57"/>
  <c r="C49" i="57"/>
  <c r="C48" i="57"/>
  <c r="C47" i="57"/>
  <c r="C46" i="57"/>
  <c r="C44" i="57"/>
  <c r="AC41" i="57"/>
  <c r="AB41" i="57"/>
  <c r="AA41" i="57"/>
  <c r="Z41" i="57"/>
  <c r="Y41" i="57"/>
  <c r="X41" i="57"/>
  <c r="W41" i="57"/>
  <c r="U41" i="57"/>
  <c r="T41" i="57"/>
  <c r="S41" i="57"/>
  <c r="R41" i="57"/>
  <c r="Q41" i="57"/>
  <c r="P41" i="57"/>
  <c r="O41" i="57"/>
  <c r="N41" i="57"/>
  <c r="M41" i="57"/>
  <c r="L41" i="57"/>
  <c r="K41" i="57"/>
  <c r="J41" i="57"/>
  <c r="I41" i="57"/>
  <c r="H41" i="57"/>
  <c r="G41" i="57"/>
  <c r="F41" i="57"/>
  <c r="C38" i="57"/>
  <c r="C36" i="57"/>
  <c r="AC35" i="57"/>
  <c r="AB35" i="57"/>
  <c r="AA35" i="57"/>
  <c r="Z35" i="57"/>
  <c r="W35" i="57"/>
  <c r="V35" i="57"/>
  <c r="U35" i="57"/>
  <c r="T35" i="57"/>
  <c r="S35" i="57"/>
  <c r="R35" i="57"/>
  <c r="Q35" i="57"/>
  <c r="P35" i="57"/>
  <c r="O35" i="57"/>
  <c r="N35" i="57"/>
  <c r="M35" i="57"/>
  <c r="L35" i="57"/>
  <c r="K35" i="57"/>
  <c r="J35" i="57"/>
  <c r="I35" i="57"/>
  <c r="H35" i="57"/>
  <c r="G35" i="57"/>
  <c r="F35" i="57"/>
  <c r="E35" i="57"/>
  <c r="D35" i="57"/>
  <c r="X34" i="57"/>
  <c r="X35" i="57" s="1"/>
  <c r="C33" i="57"/>
  <c r="C32" i="57"/>
  <c r="C31" i="57"/>
  <c r="C30" i="57"/>
  <c r="C29" i="57"/>
  <c r="AC27" i="57"/>
  <c r="AB27" i="57"/>
  <c r="AA27" i="57"/>
  <c r="Z27" i="57"/>
  <c r="Y27" i="57"/>
  <c r="X27" i="57"/>
  <c r="W27" i="57"/>
  <c r="U27" i="57"/>
  <c r="T27" i="57"/>
  <c r="S27" i="57"/>
  <c r="R27" i="57"/>
  <c r="Q27" i="57"/>
  <c r="P27" i="57"/>
  <c r="O27" i="57"/>
  <c r="N27" i="57"/>
  <c r="M27" i="57"/>
  <c r="L27" i="57"/>
  <c r="K27" i="57"/>
  <c r="J27" i="57"/>
  <c r="I27" i="57"/>
  <c r="H27" i="57"/>
  <c r="G27" i="57"/>
  <c r="F27" i="57"/>
  <c r="E27" i="57"/>
  <c r="D27" i="57"/>
  <c r="C26" i="57"/>
  <c r="AC24" i="57"/>
  <c r="AB24" i="57"/>
  <c r="AA24" i="57"/>
  <c r="Z24" i="57"/>
  <c r="Y24" i="57"/>
  <c r="X24" i="57"/>
  <c r="W24" i="57"/>
  <c r="V24" i="57"/>
  <c r="U24" i="57"/>
  <c r="T24" i="57"/>
  <c r="S24" i="57"/>
  <c r="R24" i="57"/>
  <c r="Q24" i="57"/>
  <c r="P24" i="57"/>
  <c r="O24" i="57"/>
  <c r="N24" i="57"/>
  <c r="M24" i="57"/>
  <c r="L24" i="57"/>
  <c r="K24" i="57"/>
  <c r="J24" i="57"/>
  <c r="I24" i="57"/>
  <c r="H24" i="57"/>
  <c r="G24" i="57"/>
  <c r="F24" i="57"/>
  <c r="E24" i="57"/>
  <c r="D24" i="57"/>
  <c r="C23" i="57"/>
  <c r="AC21" i="57"/>
  <c r="AB21" i="57"/>
  <c r="AA21" i="57"/>
  <c r="Z21" i="57"/>
  <c r="Y21" i="57"/>
  <c r="W21" i="57"/>
  <c r="V21" i="57"/>
  <c r="U21" i="57"/>
  <c r="T21" i="57"/>
  <c r="S21" i="57"/>
  <c r="R21" i="57"/>
  <c r="Q21" i="57"/>
  <c r="P21" i="57"/>
  <c r="O21" i="57"/>
  <c r="N21" i="57"/>
  <c r="M21" i="57"/>
  <c r="L21" i="57"/>
  <c r="J21" i="57"/>
  <c r="I21" i="57"/>
  <c r="H21" i="57"/>
  <c r="G21" i="57"/>
  <c r="F21" i="57"/>
  <c r="D21" i="57"/>
  <c r="C19" i="57"/>
  <c r="C17" i="57"/>
  <c r="C16" i="57"/>
  <c r="C15" i="57"/>
  <c r="X21" i="57"/>
  <c r="C14" i="57"/>
  <c r="E91" i="49"/>
  <c r="E90" i="49"/>
  <c r="J96" i="49" s="1"/>
  <c r="J119" i="49" s="1"/>
  <c r="O12" i="58" l="1"/>
  <c r="H12" i="58"/>
  <c r="L12" i="58"/>
  <c r="R12" i="58"/>
  <c r="L119" i="49"/>
  <c r="L96" i="49"/>
  <c r="L49" i="49"/>
  <c r="G12" i="58"/>
  <c r="S12" i="58"/>
  <c r="E119" i="49"/>
  <c r="F120" i="49" s="1"/>
  <c r="L13" i="57"/>
  <c r="N12" i="58"/>
  <c r="T12" i="58"/>
  <c r="C43" i="57"/>
  <c r="W12" i="58"/>
  <c r="Y12" i="58"/>
  <c r="C59" i="57"/>
  <c r="Z12" i="58"/>
  <c r="X13" i="57"/>
  <c r="U13" i="57"/>
  <c r="E61" i="57"/>
  <c r="C61" i="57" s="1"/>
  <c r="F12" i="58"/>
  <c r="D41" i="57"/>
  <c r="C41" i="57" s="1"/>
  <c r="C39" i="57"/>
  <c r="F13" i="57"/>
  <c r="I12" i="58"/>
  <c r="M12" i="58"/>
  <c r="U12" i="58"/>
  <c r="C123" i="49"/>
  <c r="AA13" i="57"/>
  <c r="I13" i="57"/>
  <c r="O13" i="57"/>
  <c r="E19" i="59"/>
  <c r="C18" i="57"/>
  <c r="H13" i="57"/>
  <c r="N13" i="57"/>
  <c r="T13" i="57"/>
  <c r="Z13" i="57"/>
  <c r="S50" i="57"/>
  <c r="G13" i="57"/>
  <c r="M13" i="57"/>
  <c r="E12" i="58"/>
  <c r="K12" i="58"/>
  <c r="Q12" i="58"/>
  <c r="X12" i="58"/>
  <c r="C30" i="58"/>
  <c r="C23" i="58"/>
  <c r="Q13" i="57"/>
  <c r="W13" i="57"/>
  <c r="AC13" i="57"/>
  <c r="C34" i="57"/>
  <c r="C40" i="57"/>
  <c r="C56" i="57"/>
  <c r="AA12" i="58"/>
  <c r="C27" i="57"/>
  <c r="K50" i="57"/>
  <c r="K13" i="57" s="1"/>
  <c r="C24" i="57"/>
  <c r="J13" i="57"/>
  <c r="P13" i="57"/>
  <c r="AB13" i="57"/>
  <c r="R13" i="57"/>
  <c r="J12" i="58"/>
  <c r="P12" i="58"/>
  <c r="M18" i="59"/>
  <c r="G19" i="59"/>
  <c r="I19" i="59"/>
  <c r="C21" i="57"/>
  <c r="V13" i="57"/>
  <c r="S13" i="57"/>
  <c r="E13" i="57"/>
  <c r="Y35" i="57"/>
  <c r="Y13" i="57" s="1"/>
  <c r="D13" i="57" l="1"/>
  <c r="C13" i="57" s="1"/>
  <c r="C122" i="49"/>
  <c r="C50" i="57"/>
  <c r="C35" i="57"/>
  <c r="G119" i="49" l="1"/>
  <c r="M61" i="1" l="1"/>
  <c r="L61" i="1"/>
  <c r="N60" i="1"/>
  <c r="M60" i="1"/>
  <c r="L60" i="1"/>
  <c r="K60" i="1"/>
  <c r="J60" i="1"/>
  <c r="I60" i="1"/>
  <c r="H60" i="1"/>
  <c r="F60" i="1"/>
  <c r="E60" i="1"/>
  <c r="Q58" i="1"/>
  <c r="Q60" i="1" s="1"/>
  <c r="P58" i="1"/>
  <c r="P60" i="1" s="1"/>
  <c r="O60" i="1"/>
  <c r="G58" i="1"/>
  <c r="G55" i="1"/>
  <c r="O52" i="1"/>
  <c r="N52" i="1"/>
  <c r="L52" i="1"/>
  <c r="K52" i="1"/>
  <c r="J52" i="1"/>
  <c r="H52" i="1"/>
  <c r="E40" i="1"/>
  <c r="E39" i="1"/>
  <c r="E38" i="1"/>
  <c r="E37" i="1"/>
  <c r="Q34" i="1"/>
  <c r="P34" i="1"/>
  <c r="G34" i="1"/>
  <c r="Q33" i="1"/>
  <c r="P33" i="1"/>
  <c r="I33" i="1"/>
  <c r="G33" i="1"/>
  <c r="E33" i="1"/>
  <c r="I32" i="1"/>
  <c r="G32" i="1"/>
  <c r="F32" i="1"/>
  <c r="F31" i="1" s="1"/>
  <c r="E32" i="1"/>
  <c r="O31" i="1"/>
  <c r="L31" i="1"/>
  <c r="K31" i="1"/>
  <c r="J31" i="1"/>
  <c r="H31" i="1"/>
  <c r="Q29" i="1"/>
  <c r="P29" i="1"/>
  <c r="L29" i="1"/>
  <c r="K29" i="1"/>
  <c r="J29" i="1"/>
  <c r="I29" i="1"/>
  <c r="H29" i="1"/>
  <c r="E25" i="1"/>
  <c r="E29" i="1" s="1"/>
  <c r="G23" i="1"/>
  <c r="O29" i="1"/>
  <c r="N22" i="1"/>
  <c r="N29" i="1" s="1"/>
  <c r="M22" i="1"/>
  <c r="M29" i="1" s="1"/>
  <c r="I22" i="1"/>
  <c r="G22" i="1"/>
  <c r="F22" i="1"/>
  <c r="F29" i="1" s="1"/>
  <c r="Q18" i="1"/>
  <c r="P18" i="1"/>
  <c r="N18" i="1"/>
  <c r="L18" i="1"/>
  <c r="K18" i="1"/>
  <c r="J18" i="1"/>
  <c r="M17" i="1"/>
  <c r="I17" i="1"/>
  <c r="F17" i="1"/>
  <c r="I14" i="1"/>
  <c r="H14" i="1"/>
  <c r="H18" i="1" s="1"/>
  <c r="G14" i="1"/>
  <c r="E14" i="1"/>
  <c r="G13" i="1"/>
  <c r="E13" i="1"/>
  <c r="O18" i="1"/>
  <c r="M12" i="1"/>
  <c r="I12" i="1"/>
  <c r="F12" i="1"/>
  <c r="F18" i="1" s="1"/>
  <c r="M18" i="1" l="1"/>
  <c r="P31" i="1"/>
  <c r="G18" i="1"/>
  <c r="L30" i="1"/>
  <c r="L53" i="1" s="1"/>
  <c r="L62" i="1" s="1"/>
  <c r="E52" i="1"/>
  <c r="I18" i="1"/>
  <c r="I30" i="1" s="1"/>
  <c r="F30" i="1"/>
  <c r="P52" i="1"/>
  <c r="E18" i="1"/>
  <c r="E30" i="1" s="1"/>
  <c r="G29" i="1"/>
  <c r="G30" i="1" s="1"/>
  <c r="G52" i="1"/>
  <c r="I31" i="1"/>
  <c r="Q52" i="1"/>
  <c r="G60" i="1"/>
  <c r="Q30" i="1"/>
  <c r="M30" i="1"/>
  <c r="M53" i="1" s="1"/>
  <c r="M62" i="1" s="1"/>
  <c r="G31" i="1"/>
  <c r="H30" i="1"/>
  <c r="H53" i="1" s="1"/>
  <c r="H62" i="1" s="1"/>
  <c r="N30" i="1"/>
  <c r="N53" i="1" s="1"/>
  <c r="N62" i="1" s="1"/>
  <c r="K30" i="1"/>
  <c r="K53" i="1" s="1"/>
  <c r="K62" i="1" s="1"/>
  <c r="P30" i="1"/>
  <c r="J30" i="1"/>
  <c r="J53" i="1" s="1"/>
  <c r="J62" i="1" s="1"/>
  <c r="O30" i="1"/>
  <c r="O53" i="1" s="1"/>
  <c r="G53" i="1"/>
  <c r="G62" i="1" s="1"/>
  <c r="Q31" i="1"/>
  <c r="E31" i="1"/>
  <c r="F52" i="1"/>
  <c r="F53" i="1" s="1"/>
  <c r="F62" i="1" s="1"/>
  <c r="I52" i="1"/>
  <c r="C12" i="57" l="1"/>
  <c r="E53" i="1"/>
  <c r="E62" i="1" s="1"/>
  <c r="P53" i="1"/>
  <c r="P62" i="1" s="1"/>
  <c r="Q53" i="1"/>
  <c r="Q62" i="1" s="1"/>
  <c r="O62" i="1"/>
  <c r="I53" i="1"/>
  <c r="I62" i="1" s="1"/>
  <c r="H119" i="49" l="1"/>
  <c r="H120" i="49" s="1"/>
  <c r="E21" i="47" l="1"/>
  <c r="D21" i="47"/>
  <c r="F21" i="47"/>
  <c r="C21" i="47"/>
  <c r="C11" i="4" l="1"/>
  <c r="E34" i="47" l="1"/>
  <c r="C34" i="47"/>
  <c r="F57" i="47"/>
  <c r="E57" i="47"/>
  <c r="D57" i="47"/>
  <c r="C57" i="47"/>
  <c r="F53" i="47"/>
  <c r="E53" i="47"/>
  <c r="D53" i="47"/>
  <c r="C53" i="47"/>
  <c r="F47" i="47"/>
  <c r="E47" i="47"/>
  <c r="D47" i="47"/>
  <c r="C47" i="47"/>
  <c r="F39" i="47"/>
  <c r="E39" i="47"/>
  <c r="D39" i="47"/>
  <c r="C39" i="47"/>
  <c r="F34" i="47"/>
  <c r="D34" i="47"/>
  <c r="F24" i="47"/>
  <c r="E24" i="47"/>
  <c r="D24" i="47"/>
  <c r="C24" i="47"/>
  <c r="F13" i="47" l="1"/>
  <c r="D13" i="47"/>
  <c r="E13" i="47"/>
  <c r="C13" i="47"/>
  <c r="C14" i="20" l="1"/>
  <c r="B26" i="5" l="1"/>
  <c r="B24" i="5"/>
  <c r="B22" i="5"/>
  <c r="B18" i="5"/>
  <c r="B15" i="5"/>
  <c r="B12" i="5" l="1"/>
  <c r="P14" i="20" l="1"/>
  <c r="O14" i="20"/>
  <c r="N14" i="20"/>
  <c r="K14" i="20"/>
  <c r="H13" i="20"/>
  <c r="M13" i="20" s="1"/>
  <c r="H12" i="20"/>
  <c r="M12" i="20" s="1"/>
  <c r="J12" i="20" l="1"/>
  <c r="Q12" i="20" s="1"/>
  <c r="T12" i="20" s="1"/>
  <c r="J13" i="20"/>
  <c r="Q13" i="20" s="1"/>
  <c r="M14" i="20"/>
  <c r="H14" i="20"/>
  <c r="R13" i="20" l="1"/>
  <c r="S13" i="20" s="1"/>
  <c r="T13" i="20"/>
  <c r="Z13" i="20" s="1"/>
  <c r="Z12" i="20"/>
  <c r="J14" i="20"/>
  <c r="R12" i="20"/>
  <c r="S12" i="20" s="1"/>
  <c r="Y12" i="20" s="1"/>
  <c r="Q14" i="20"/>
  <c r="S15" i="20" s="1"/>
  <c r="S16" i="20" s="1"/>
  <c r="T14" i="20" l="1"/>
  <c r="Z14" i="20"/>
  <c r="Y13" i="20"/>
  <c r="Y14" i="20" s="1"/>
  <c r="S14" i="20"/>
  <c r="R14" i="20"/>
  <c r="V14" i="20" l="1"/>
  <c r="C25" i="58" l="1"/>
  <c r="D26" i="58"/>
  <c r="C26" i="58" s="1"/>
  <c r="D12" i="58" l="1"/>
  <c r="C12" i="58" s="1"/>
  <c r="C11" i="58" s="1"/>
</calcChain>
</file>

<file path=xl/comments1.xml><?xml version="1.0" encoding="utf-8"?>
<comments xmlns="http://schemas.openxmlformats.org/spreadsheetml/2006/main">
  <authors>
    <author>Nurbek Haitkulov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1087,9  - исправление на добровольный патент</t>
        </r>
      </text>
    </comment>
  </commentList>
</comments>
</file>

<file path=xl/comments2.xml><?xml version="1.0" encoding="utf-8"?>
<comments xmlns="http://schemas.openxmlformats.org/spreadsheetml/2006/main">
  <authors>
    <author>Nurbek Haitkulov</author>
  </authors>
  <commentList>
    <comment ref="Y34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10578 квота
9800 основной
1200 доп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в т.ч. 6000,0 кредит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2405-1560=845 сыйлоо</t>
        </r>
      </text>
    </comment>
  </commentList>
</comments>
</file>

<file path=xl/sharedStrings.xml><?xml version="1.0" encoding="utf-8"?>
<sst xmlns="http://schemas.openxmlformats.org/spreadsheetml/2006/main" count="488" uniqueCount="333">
  <si>
    <t>Шаардык   кеңештин</t>
  </si>
  <si>
    <t>№ 1-тиркеме</t>
  </si>
  <si>
    <t>№</t>
  </si>
  <si>
    <t>Элемент
(8)</t>
  </si>
  <si>
    <t xml:space="preserve">Киреше  булактарынын аттары. </t>
  </si>
  <si>
    <t>%</t>
  </si>
  <si>
    <t>Роялти</t>
  </si>
  <si>
    <t>Жалпы мамлекеттик салыктардын жыйынтыгы</t>
  </si>
  <si>
    <t>Бекитилген кирешелердин жыйынтыгы</t>
  </si>
  <si>
    <t>Салык кызматтары аркылуу чогултулган киреше</t>
  </si>
  <si>
    <t>Курулуш базарынан тушуучу киреше</t>
  </si>
  <si>
    <t>Шаардык мэрия, муниципалдык МБК жана керек-жарак департаменти аркылуу чогултулган жыйымдар жана толомдор</t>
  </si>
  <si>
    <t xml:space="preserve">Жалпы салык жана салык эмес  кирешелер </t>
  </si>
  <si>
    <t>Атайын төлөмдөрдөн түшүүчү кирешелер</t>
  </si>
  <si>
    <t>Шаардык кенештин жооптуу катчысы                                          Б.Беркбаева</t>
  </si>
  <si>
    <r>
      <t xml:space="preserve">бюджеттик мекеме уюмдардын </t>
    </r>
    <r>
      <rPr>
        <b/>
        <sz val="10"/>
        <rFont val="Times New Roman UniToktom"/>
        <family val="1"/>
        <charset val="204"/>
      </rPr>
      <t xml:space="preserve"> бюджеттик</t>
    </r>
    <r>
      <rPr>
        <sz val="10"/>
        <rFont val="Times New Roman UniToktom"/>
        <family val="1"/>
        <charset val="204"/>
      </rPr>
      <t xml:space="preserve"> сметалык чыгымдары</t>
    </r>
  </si>
  <si>
    <t>к/б
№</t>
  </si>
  <si>
    <t>Мекемелердин
аталышы</t>
  </si>
  <si>
    <t>Жалпысы</t>
  </si>
  <si>
    <t>Эмгек 
акы</t>
  </si>
  <si>
    <t>Соц.
фондко төлөмдөр</t>
  </si>
  <si>
    <t>Кызматтык иш сапарларга чыгымдар</t>
  </si>
  <si>
    <t>Байланыш менен тейлөө кызматы</t>
  </si>
  <si>
    <t>Ижара
акы төлөө</t>
  </si>
  <si>
    <t>Унаа менен тейлөө кызматы</t>
  </si>
  <si>
    <t>Мулктун абалын кармоо  боюнча тейлөө</t>
  </si>
  <si>
    <t>Башка тейлоо кызматтарына толоого байланышкан чыгымдар</t>
  </si>
  <si>
    <t>Медикаменттер</t>
  </si>
  <si>
    <t>Тамак аш продуктыларын алуу</t>
  </si>
  <si>
    <t>Мулкту учурдагы ондоо</t>
  </si>
  <si>
    <t xml:space="preserve">Учурдагы чарбалык максаттар үчүн </t>
  </si>
  <si>
    <t>Кийим буюмдарын сатып алуу</t>
  </si>
  <si>
    <t>Көмүр алууга</t>
  </si>
  <si>
    <t>Суу үчүн акы төлөө</t>
  </si>
  <si>
    <t>электроэнергия үчүн акы төлөө</t>
  </si>
  <si>
    <t>Жылуулук энергиясы үчүн акы төлөө</t>
  </si>
  <si>
    <t>Газ үчүн акы төлөө</t>
  </si>
  <si>
    <t>Субсидия</t>
  </si>
  <si>
    <t>Калкка соц.жардам боюнча жөлөк пул</t>
  </si>
  <si>
    <t>Учурдагы ар түрдүү башка чыгашалар</t>
  </si>
  <si>
    <t>Имарат
 ж-а курулуш</t>
  </si>
  <si>
    <t>Машина 
ж-а жабдуу алуу</t>
  </si>
  <si>
    <t>Башка негизги каражаттар</t>
  </si>
  <si>
    <t>Башка запасттар/жер сатып алуу</t>
  </si>
  <si>
    <t>Ички карыз алуу</t>
  </si>
  <si>
    <t>262 / 282</t>
  </si>
  <si>
    <r>
      <t>3122</t>
    </r>
    <r>
      <rPr>
        <b/>
        <sz val="8"/>
        <rFont val="Times New Roman UniToktom"/>
        <charset val="204"/>
      </rPr>
      <t>/</t>
    </r>
    <r>
      <rPr>
        <sz val="8"/>
        <rFont val="Times New Roman UniToktom"/>
        <family val="1"/>
        <charset val="204"/>
      </rPr>
      <t>3141</t>
    </r>
  </si>
  <si>
    <t>Шаар боюнча  жыйын-ы</t>
  </si>
  <si>
    <t>шаардык Мэрия</t>
  </si>
  <si>
    <t>Шаардык кенеш</t>
  </si>
  <si>
    <t>3</t>
  </si>
  <si>
    <t xml:space="preserve">Территориалдык (Спутник) башкармалыктар </t>
  </si>
  <si>
    <t>Тайгараев тер.башкармалыгы</t>
  </si>
  <si>
    <t>Керек жарак рыногу жана кызмат корсотуу департаменти</t>
  </si>
  <si>
    <t>бөлүмдүн жыйынтыгы</t>
  </si>
  <si>
    <t>Шаардык аскер комиссариаты</t>
  </si>
  <si>
    <t>Коомдук тартипти сак-о</t>
  </si>
  <si>
    <t>Шаардык жолдор башкармалыгы (АБЗ м-н)</t>
  </si>
  <si>
    <t>7.1</t>
  </si>
  <si>
    <t>МАР кредити боюнча кайтарууга (жол баш-гы)</t>
  </si>
  <si>
    <t>Капиталдык курулуш департаменти</t>
  </si>
  <si>
    <t>Долбоорлорду ишке ашыруу</t>
  </si>
  <si>
    <t>Муницип.пассаж.автобаза</t>
  </si>
  <si>
    <t>Үлүштүк каржылоо</t>
  </si>
  <si>
    <t>Коммуналдык чарба департаменти</t>
  </si>
  <si>
    <t>Жашылдандыруу чарбасы</t>
  </si>
  <si>
    <t>Жалал-Абад тазалык мекемеси</t>
  </si>
  <si>
    <t>"Жалал-Абад Сууканал" башкармалыгы</t>
  </si>
  <si>
    <t>Маданият сарайы</t>
  </si>
  <si>
    <t>Маданият бөлүмү</t>
  </si>
  <si>
    <t>Музей</t>
  </si>
  <si>
    <t xml:space="preserve"> Маалымат борбору</t>
  </si>
  <si>
    <t>"Курманбек" стадиону</t>
  </si>
  <si>
    <t>ФОК</t>
  </si>
  <si>
    <t>Мектептер</t>
  </si>
  <si>
    <t>Бала-бакчалар</t>
  </si>
  <si>
    <t>Мектептен сырткары мек-р</t>
  </si>
  <si>
    <t>Кайрымдуулук борбору</t>
  </si>
  <si>
    <t>Согуш ардагерлер кенеши</t>
  </si>
  <si>
    <r>
      <t xml:space="preserve">бюджеттик мекеме уюмдардын </t>
    </r>
    <r>
      <rPr>
        <b/>
        <sz val="10"/>
        <rFont val="Times New Roman"/>
        <family val="1"/>
        <charset val="204"/>
      </rPr>
      <t>атайын төлөмдөр</t>
    </r>
    <r>
      <rPr>
        <sz val="10"/>
        <rFont val="Times New Roman"/>
        <family val="1"/>
        <charset val="204"/>
      </rPr>
      <t xml:space="preserve"> боюнча сметалык чыгымдары </t>
    </r>
  </si>
  <si>
    <t>Башка негизги фонд каражаттары</t>
  </si>
  <si>
    <t>Башка запасттар</t>
  </si>
  <si>
    <t xml:space="preserve">Керек жарак рыногу </t>
  </si>
  <si>
    <t>болумдун жыйынтыгы</t>
  </si>
  <si>
    <t xml:space="preserve">Шаардык жолдор башкармалыгы </t>
  </si>
  <si>
    <t>Турак жай чарбасынын ж.</t>
  </si>
  <si>
    <t>Стадион Курманбек</t>
  </si>
  <si>
    <t>№  _____ -токтомуна</t>
  </si>
  <si>
    <t>Иш чаралардын аталышы</t>
  </si>
  <si>
    <t>(атайын төлөмдөр)</t>
  </si>
  <si>
    <t>м.с.</t>
  </si>
  <si>
    <t>Керек жарак рыногу</t>
  </si>
  <si>
    <t>701. Мамлекеттик башкаруу бөлүмү</t>
  </si>
  <si>
    <t>Жолдор башкармалыгы</t>
  </si>
  <si>
    <t>704. Экономикалык суроолор</t>
  </si>
  <si>
    <t>Турак жай чарба департаменти</t>
  </si>
  <si>
    <t>706. Турак-жай чарба бөлүмү</t>
  </si>
  <si>
    <t>708. Маданият бөлүмү</t>
  </si>
  <si>
    <t xml:space="preserve">Бала-бакчалар </t>
  </si>
  <si>
    <t>709. Билим беруу бөлүмү</t>
  </si>
  <si>
    <t>Алтын балалык лагери</t>
  </si>
  <si>
    <t>Мекеменин аталыша</t>
  </si>
  <si>
    <t>Кыскартылуучу
сумма</t>
  </si>
  <si>
    <t>Кошумча суралган 
сумма</t>
  </si>
  <si>
    <t>Муниципалдык менчик башкармалыгы</t>
  </si>
  <si>
    <t>Социалдык камсыздоо башкармалыгы</t>
  </si>
  <si>
    <t>____/______/2018-жылдагы</t>
  </si>
  <si>
    <t>_______ - сессиясынын</t>
  </si>
  <si>
    <t>Кызматтын аталышы</t>
  </si>
  <si>
    <t>Бирдиктердин саны</t>
  </si>
  <si>
    <t>Базалык ставка</t>
  </si>
  <si>
    <t>Коэф</t>
  </si>
  <si>
    <t>Түзөтүүчү коэф-т</t>
  </si>
  <si>
    <t>Кызматтык маяна</t>
  </si>
  <si>
    <t>Мамлекеттик (муницип.) стаж</t>
  </si>
  <si>
    <t>Класстык чин</t>
  </si>
  <si>
    <t>Шаардык кенештен кошулган үстөктөр</t>
  </si>
  <si>
    <t>КР Окмоту тарабынан кошулуучу болок устоктор</t>
  </si>
  <si>
    <t>Бир айлык эмгек акы 
(бир кишиге)</t>
  </si>
  <si>
    <t>Бир айлык эмгек акы
(бардыгына)</t>
  </si>
  <si>
    <t>Бир жылга 
эсеп</t>
  </si>
  <si>
    <t>сумма</t>
  </si>
  <si>
    <t>Башкы адис</t>
  </si>
  <si>
    <t>Жалпы жоопту кызматкерлер</t>
  </si>
  <si>
    <t>№  7 - тиркеме</t>
  </si>
  <si>
    <t>Ш. кенештин токтом-н негзиндеги устоктор</t>
  </si>
  <si>
    <t>жан коэфцент</t>
  </si>
  <si>
    <t>Ыйгарылган кадам</t>
  </si>
  <si>
    <t>Жалал-Абад шаарынын  маданият болумунун   штаттык ырааттамасы</t>
  </si>
  <si>
    <t>Жетекчи</t>
  </si>
  <si>
    <t>2020-жылга бекитилген план</t>
  </si>
  <si>
    <t xml:space="preserve"> </t>
  </si>
  <si>
    <t>Кызмат көрсөтүүнүн башка классификацияланбаган түрлөрү үчүн акы</t>
  </si>
  <si>
    <t>Учурдагы жардам</t>
  </si>
  <si>
    <t>Атайын төлөмдөрдөн түшүүчү кирешелердин жыйынтыгы</t>
  </si>
  <si>
    <t>Жалпы кирешелер жана атайын төлөмдөр</t>
  </si>
  <si>
    <t>Мектепке чейинки жана мектеп мекемелерине кошумча кызмат көрсөтүү акысы</t>
  </si>
  <si>
    <t>Мамлекеттин пайдасына айлантылган кирешелер</t>
  </si>
  <si>
    <t>____/_____/2021-жылдагы</t>
  </si>
  <si>
    <t>2020-жылга факт</t>
  </si>
  <si>
    <t>№ 3-тиркеме</t>
  </si>
  <si>
    <t>бюджет</t>
  </si>
  <si>
    <t>атайын 
каражат</t>
  </si>
  <si>
    <r>
      <t xml:space="preserve">бюджеттик мекеме уюмдардын </t>
    </r>
    <r>
      <rPr>
        <b/>
        <sz val="10"/>
        <rFont val="Times New Roman UniToktom"/>
        <family val="1"/>
        <charset val="204"/>
      </rPr>
      <t xml:space="preserve"> болжолу</t>
    </r>
  </si>
  <si>
    <t>Шаардык жаштар иштери,  дене тарбия жана спорт болуму</t>
  </si>
  <si>
    <t>Шаардык жаштар иштери,  дене
 тарбия жана спорт болуму</t>
  </si>
  <si>
    <t>Милдеттүү патенттин негизинде салык</t>
  </si>
  <si>
    <t>Ыктыярдуу патенттин негизинде салык</t>
  </si>
  <si>
    <t>Чакан ишкердик субьекттери үчүн бирдиктүү салык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</si>
  <si>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</si>
  <si>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</si>
  <si>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Калктуу пункттардын таштандысын чыгаруу үчүн жыйым</t>
  </si>
  <si>
    <t>Калктуу конуштарда жер ижарасы үчүн акы, анын ичинен:</t>
  </si>
  <si>
    <t>Муниципалдык менчикте турган жайлардын, имараттардын, курулмалардын, жабдуулардын жана техникалардын ижара акысы</t>
  </si>
  <si>
    <t>Автотранспортту парковкалоо жана автотоктотмо үчүн жыйымдар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</si>
  <si>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</si>
  <si>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</si>
  <si>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</si>
  <si>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Жеңил автомобилдерди сатуу</t>
  </si>
  <si>
    <t>Жук ташуучу машиналарды сатуу</t>
  </si>
  <si>
    <t>Башка транспорт каражаттарын сатуу</t>
  </si>
  <si>
    <t>№ 4а- тиркеме</t>
  </si>
  <si>
    <t>2021-жылга бекитилген план</t>
  </si>
  <si>
    <t>Ден-соолукту чындоочу комплекс</t>
  </si>
  <si>
    <t>2024-жылга болжол</t>
  </si>
  <si>
    <t>2021-жылга такталган план</t>
  </si>
  <si>
    <t>2021-жылга факт</t>
  </si>
  <si>
    <t xml:space="preserve">2024-жылга божомол </t>
  </si>
  <si>
    <t xml:space="preserve">Шаардык муниципалдык менчик башкармалыгы </t>
  </si>
  <si>
    <t>Шаардык керек-жарак рыногу жана кызмат корсотуу департаменти</t>
  </si>
  <si>
    <t>Айыл чарбасына жарактуу жерлердин мамлекеттик фондунун жерлерин иштетүү үчүн ижара акысы (ФПЗ)</t>
  </si>
  <si>
    <t>Жер казынасын пайдалануу укугуна лицензияны кармоо үчүн акы</t>
  </si>
  <si>
    <t>Институционалдык имаратарды сатуу</t>
  </si>
  <si>
    <t>Башка имараттарды сатуу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</si>
  <si>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</si>
  <si>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</si>
  <si>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анын ичинде резервдик фонд</t>
  </si>
  <si>
    <t>Шаардагы курулуш иштерине</t>
  </si>
  <si>
    <t>№ 2а-тиркеме</t>
  </si>
  <si>
    <t>Сессияда кошулган</t>
  </si>
  <si>
    <t>Сессияда кыскарган</t>
  </si>
  <si>
    <t>2023-жылга  Жалал-Абад  шаарынын  шаардык бюджетинин кирешелер боюнча долбоору жана 2024-2025 жылдарга божомолу</t>
  </si>
  <si>
    <t>2022-жылга бекитилген план</t>
  </si>
  <si>
    <t>2022-жылга такталган план</t>
  </si>
  <si>
    <t>2022-жылга ФМ тарабынан такталган план</t>
  </si>
  <si>
    <t>2022-жылга факт</t>
  </si>
  <si>
    <t xml:space="preserve">2025-жылга божомол </t>
  </si>
  <si>
    <t>Кыргыз Республикасынын резиденттери-жеке жактардан алынуучу киреше салыгы</t>
  </si>
  <si>
    <t>Патенттин негизинде салык</t>
  </si>
  <si>
    <t>Турак жайга же жайга мүлк салыгы</t>
  </si>
  <si>
    <t>Турак жай эмес имаратка жана жайга мүлк салыгы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</si>
  <si>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</si>
  <si>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</si>
  <si>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</si>
  <si>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Жергиликтуу бюджеттин башка жана болок салыктары</t>
  </si>
  <si>
    <t>Жаны муниципалдык базар</t>
  </si>
  <si>
    <t>Жайыт жерлерди пайдалануу үчүн жыйым</t>
  </si>
  <si>
    <r>
      <t>Дагы башка төлөмдөр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(Сертификаттарды жана башка уруксат беруучу документтердин акысы)</t>
    </r>
  </si>
  <si>
    <t>Айыптар</t>
  </si>
  <si>
    <t>Республикалык бюджеттен тушуучу каражат (максаттуу трансферттер)</t>
  </si>
  <si>
    <t>Жалал-Абад  шаардык бюджеттин чыгаша бөлугу боюнча 2023-жылга</t>
  </si>
  <si>
    <t>2025-жылга болжол</t>
  </si>
  <si>
    <t>Жалал-Абад  шаардык  бюджеттин чыгаша бөлүгү боюнча 2024-2025-жж.</t>
  </si>
  <si>
    <t>01.01.2023- жылга калган калдыктын (профицит)  эсебинен каржылануучу чыгашалардын долбоору</t>
  </si>
  <si>
    <t>01.01.2023-жылга калдык</t>
  </si>
  <si>
    <t xml:space="preserve">Жалал-Абад шаарынын 2023-жылга шаардык кенешке сунушталган долбооруна өзгөртүүлөр тизмеси
</t>
  </si>
  <si>
    <t>Статья</t>
  </si>
  <si>
    <t>Иш чаранын аталышы</t>
  </si>
  <si>
    <t>Т.Тайгараев а/б</t>
  </si>
  <si>
    <t>Тазалык мекемеси</t>
  </si>
  <si>
    <t>Спутник А/Б</t>
  </si>
  <si>
    <t>Психолог адисин 0,5 ставкага кыскартуу</t>
  </si>
  <si>
    <t>Жайыт комитетинен кыскартуу</t>
  </si>
  <si>
    <t>Президенттин иш-чараларын аткаруусуна жана жаңы жылга каралган каражат</t>
  </si>
  <si>
    <t>Дене тарбия жана спорт</t>
  </si>
  <si>
    <t>Электр энергиядан кыскартуу</t>
  </si>
  <si>
    <t>Мэрия</t>
  </si>
  <si>
    <t>Эко фонд эсебинен алып келинген техникаларды каттоо</t>
  </si>
  <si>
    <t>Соц фонд экономия</t>
  </si>
  <si>
    <t>Ардагерлер кенеши</t>
  </si>
  <si>
    <t>Даараткана кыскартылып, ордуна компьютер алуу</t>
  </si>
  <si>
    <t>Жылытуу системасына каралган каражаттын статьясын оңдоо</t>
  </si>
  <si>
    <t>Транспорттук чыгымдарды кыскартуу</t>
  </si>
  <si>
    <t>Спринтер сатып алууга бөлүнгөн сумманы кыскартуу</t>
  </si>
  <si>
    <t>Насыяны төлөөгө</t>
  </si>
  <si>
    <t>Долбоорлорду даярдоо</t>
  </si>
  <si>
    <t>КЖРжККД (соода департ)</t>
  </si>
  <si>
    <t>Эмгек акы (техникалык ката)</t>
  </si>
  <si>
    <t>30% шаардык кеңештен кошулуучу үстөк</t>
  </si>
  <si>
    <t>Мисте токоюна токойчу кызматкерин кыскартуу</t>
  </si>
  <si>
    <t>Автоунаанын шиналарына</t>
  </si>
  <si>
    <t>Компьютер алууга</t>
  </si>
  <si>
    <t>Маалымат борбору</t>
  </si>
  <si>
    <t>Бензин, тетиктерге</t>
  </si>
  <si>
    <t>ЛЭД экран үчүн сандык</t>
  </si>
  <si>
    <t>Алтын-Балалык лагери</t>
  </si>
  <si>
    <t>2111 - 116,9 миң сом, 2121 - 20,1 миң сом, жалпы 137,0 миң сом 1 ставкага өткөндүгүнө байланыштуу</t>
  </si>
  <si>
    <t>4 штаттык бирдикти кыскартуу, электрик кызматкеринин категориясы</t>
  </si>
  <si>
    <t>Спорт иш-чаралары</t>
  </si>
  <si>
    <t>Бала бакчалар</t>
  </si>
  <si>
    <t>Мектептен сырткары</t>
  </si>
  <si>
    <t>Абдукаимов М. баатир сатып алуу</t>
  </si>
  <si>
    <t>Шаардык жолдор башкармалыгы</t>
  </si>
  <si>
    <t>Сууканал башкармалыгы</t>
  </si>
  <si>
    <t>Бала бакчалар (атайын эсеп)</t>
  </si>
  <si>
    <t>31 жаңы штаттык бирдик жана аларга керектелүүчү чарбалык буюмдар</t>
  </si>
  <si>
    <t>Б.Осмонов кочосуно декаративный габион</t>
  </si>
  <si>
    <t>Газон-чарбалык</t>
  </si>
  <si>
    <t>Комиссия кыскарткан сумма</t>
  </si>
  <si>
    <t>Комиссиядан кошулган сумма</t>
  </si>
  <si>
    <t>чарбалык буюмдар (цемент,апаловка,бетонамешалка, араба, проволка, лапата) тротуар 10 км</t>
  </si>
  <si>
    <t>1 вице-мэрге комп</t>
  </si>
  <si>
    <t>куураган дарактардын ордун толуктоо бак-дарак</t>
  </si>
  <si>
    <t xml:space="preserve">Шаардык кенештен кошумча 20% </t>
  </si>
  <si>
    <t>Автоунаанын тетиктерине</t>
  </si>
  <si>
    <t>Атрибуттар (флаг)</t>
  </si>
  <si>
    <t xml:space="preserve">Аристон 15,0 - 5,0 = 10,0 </t>
  </si>
  <si>
    <t xml:space="preserve">Кресло вице-мэрге 17,0 + 5,0 = 22,0 </t>
  </si>
  <si>
    <t>Шебень, чарбалык буюмдар (арыктарды бекемдоо)</t>
  </si>
  <si>
    <t>Шаар кочолоруно лоток орнотууга</t>
  </si>
  <si>
    <t>11 -айга батирдин ижарасын компенсациялоого</t>
  </si>
  <si>
    <r>
      <t xml:space="preserve">Комиссияда </t>
    </r>
    <r>
      <rPr>
        <b/>
        <sz val="10"/>
        <rFont val="Times New Roman"/>
        <family val="1"/>
        <charset val="204"/>
      </rPr>
      <t>кошулган</t>
    </r>
    <r>
      <rPr>
        <sz val="10"/>
        <rFont val="Times New Roman"/>
        <family val="1"/>
        <charset val="204"/>
      </rPr>
      <t xml:space="preserve"> чыгымдар</t>
    </r>
  </si>
  <si>
    <r>
      <t xml:space="preserve">Комиссияда </t>
    </r>
    <r>
      <rPr>
        <b/>
        <sz val="10"/>
        <rFont val="Times New Roman"/>
        <family val="1"/>
        <charset val="204"/>
      </rPr>
      <t>кыскартыган</t>
    </r>
    <r>
      <rPr>
        <sz val="10"/>
        <rFont val="Times New Roman"/>
        <family val="1"/>
        <charset val="204"/>
      </rPr>
      <t xml:space="preserve"> чыгымдар</t>
    </r>
  </si>
  <si>
    <t>500 сомдон мугалимдерге толонуучу каражат</t>
  </si>
  <si>
    <t>Транспорттук чыгымдардан кыскарды- ремонту</t>
  </si>
  <si>
    <t>Эмеректерди сатып алууга</t>
  </si>
  <si>
    <t>№14 мектепке парта алууга (15 комплект)</t>
  </si>
  <si>
    <t>Кароосуз калган темир дүкөндөрдү алууга каралган каражатты азайтуу</t>
  </si>
  <si>
    <t>Жалал-Абад областтык юстиция башкармалыгына штраф төлөөгө</t>
  </si>
  <si>
    <t>1С программасына 5000 сом*12 айга=60,0 миң сом</t>
  </si>
  <si>
    <t>Мамлекеттик газеталарга каралган каражатты азайтуу</t>
  </si>
  <si>
    <t>Үлүштүк каржылоого карадган каражат</t>
  </si>
  <si>
    <t>Шаардык кеңештен кошумча 20% үстөк</t>
  </si>
  <si>
    <t>Шаардык кеңештен кошумча үстөк</t>
  </si>
  <si>
    <t>Чарбалык буюмдар</t>
  </si>
  <si>
    <t>Атайын автоунаа айдоочунун иштөө мөөнөтүн 10 айга азайтуу</t>
  </si>
  <si>
    <t>Соц фонд техникалык ката</t>
  </si>
  <si>
    <t>Күйүүчү майга каралган каражатты азайтуу</t>
  </si>
  <si>
    <t>50,0 техникалык шарттар, 50,0 каналдарды тазалоо, 50,0 ПСД каралган каражаттарды азайтуу</t>
  </si>
  <si>
    <t>Компьютер ремонттоого</t>
  </si>
  <si>
    <t>Кенсе буюмдарына каралган каражат азайтуу</t>
  </si>
  <si>
    <t>Үлүштүк каржылоо жана башка курулуштар</t>
  </si>
  <si>
    <t>Канализация тартууга</t>
  </si>
  <si>
    <t>Транспорттук чыгымдар</t>
  </si>
  <si>
    <t>Курулуштарга каралган каражат</t>
  </si>
  <si>
    <t>Тетиктерди алууга</t>
  </si>
  <si>
    <t>Автоунааларды камсыздандырууга карлалган каражатты кыскартуу</t>
  </si>
  <si>
    <t>Сууга кошумча каражат</t>
  </si>
  <si>
    <t>Сыйлоого</t>
  </si>
  <si>
    <t>КЖРжККД</t>
  </si>
  <si>
    <t>13 штат бирдиги / 10 ай</t>
  </si>
  <si>
    <t>Техникага каралган каражат</t>
  </si>
  <si>
    <t>Кыскартылуучу штаттык бирдик</t>
  </si>
  <si>
    <t>Телефондун тарифин жогорулатуу</t>
  </si>
  <si>
    <t>Кызматкерлерди окутууга</t>
  </si>
  <si>
    <t>Тазалык (таштандыга) каралган каражатты кыскартуу</t>
  </si>
  <si>
    <t>Квитанцияга каралган каражат</t>
  </si>
  <si>
    <t>Салык төлөмү (таштандыга)</t>
  </si>
  <si>
    <t>Ар түрдүү чыгымдар</t>
  </si>
  <si>
    <t>Туз алууга кошумча каражат</t>
  </si>
  <si>
    <t>Ремонтко каралган каражатты азайтуу</t>
  </si>
  <si>
    <t>Монолитный бордюр</t>
  </si>
  <si>
    <t>Газон урук</t>
  </si>
  <si>
    <t>Кара топурак - 771,0, гон - 212,5, бак дарактарды даарылоого - 189,3, габион таштарын дробилкадан өткөрүү - 250,0</t>
  </si>
  <si>
    <t>Шагыл алууга кошумча каражат (наказ)</t>
  </si>
  <si>
    <t>ПСД даярдоого (наказ)</t>
  </si>
  <si>
    <t>Битум (наказ)</t>
  </si>
  <si>
    <t>Жениш мкр, Парковая к. суу түтүктөрүн алмаштырууга (наказ)</t>
  </si>
  <si>
    <t>Унаа тетиктерине каралган каражатты көбөйтүү</t>
  </si>
  <si>
    <t>Электро товар алууга (наказ)</t>
  </si>
  <si>
    <t>Лоток алууга (наказ)</t>
  </si>
  <si>
    <t>Скамейка алууга (наказ)</t>
  </si>
  <si>
    <t>Арыктарды оңдоого (наказ)</t>
  </si>
  <si>
    <t>Компьютер, принтер алууга (наказ)</t>
  </si>
  <si>
    <t>Интерактивдик доска алууга (наказ)</t>
  </si>
  <si>
    <t>№8 бала бакчага эмерек алууга (наказ)</t>
  </si>
  <si>
    <t>Трактор алууга (наказ)</t>
  </si>
  <si>
    <t>Канализация тартууга (наказ)</t>
  </si>
  <si>
    <t>Передвижка</t>
  </si>
  <si>
    <t>Киреше</t>
  </si>
  <si>
    <t>500 сомдон мугалимдерге төлөнүүчү каражат</t>
  </si>
  <si>
    <t>Аянттарга каралган каражат азайтуу</t>
  </si>
  <si>
    <t>№ 2-тиркеме</t>
  </si>
  <si>
    <t>2023-жылга КР ФМги тарабынан сунушталган</t>
  </si>
  <si>
    <t>2023-жылга  бекитууго сунушталган долбор</t>
  </si>
  <si>
    <t>06.03.2023-жылдагы</t>
  </si>
  <si>
    <t>XXVI сессиясынын</t>
  </si>
  <si>
    <t>№5-токтомуна</t>
  </si>
  <si>
    <t>Шаардык кенештин башкы адиси                                          Г.Осмонова</t>
  </si>
  <si>
    <t>№ 4-тиркеме</t>
  </si>
  <si>
    <t>XХVI сессиясынын</t>
  </si>
  <si>
    <t>Шаардык кенештин башкы адиси                                                                 Г.Осмонова</t>
  </si>
  <si>
    <t>Шаардык кенештин башкы адиси                                                                                                 Г.Осмонова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</si>
</sst>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0.0"/>
    <numFmt numFmtId="167" formatCode="_-* #,##0_р_._-;\-* #,##0_р_._-;_-* &quot;-&quot;??_р_._-;_-@_-"/>
  </numFmts>
  <fonts count="5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E"/>
      <family val="1"/>
      <charset val="238"/>
    </font>
    <font>
      <b/>
      <sz val="10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Times New Roman CE"/>
      <charset val="204"/>
    </font>
    <font>
      <sz val="10"/>
      <name val="Times New Roman UniToktom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 UniToktom"/>
      <charset val="204"/>
    </font>
    <font>
      <sz val="10"/>
      <name val="Times New Roman"/>
      <family val="1"/>
      <charset val="204"/>
    </font>
    <font>
      <b/>
      <sz val="10"/>
      <name val="Times New Roman UniToktom"/>
      <family val="1"/>
      <charset val="204"/>
    </font>
    <font>
      <sz val="9"/>
      <name val="Times New Roman UniToktom"/>
      <family val="1"/>
      <charset val="204"/>
    </font>
    <font>
      <sz val="7"/>
      <name val="Times New Roman UniToktom"/>
      <family val="1"/>
      <charset val="204"/>
    </font>
    <font>
      <b/>
      <sz val="10"/>
      <name val="Times New Roman UniToktom"/>
      <charset val="204"/>
    </font>
    <font>
      <sz val="8"/>
      <name val="Times New Roman UniToktom"/>
      <family val="1"/>
      <charset val="204"/>
    </font>
    <font>
      <b/>
      <sz val="8"/>
      <name val="Times New Roman UniToktom"/>
      <charset val="204"/>
    </font>
    <font>
      <sz val="10"/>
      <name val="Times New Roman UniToktom"/>
      <charset val="204"/>
    </font>
    <font>
      <i/>
      <sz val="10"/>
      <name val="Times New Roman UniToktom"/>
      <charset val="204"/>
    </font>
    <font>
      <b/>
      <i/>
      <sz val="10"/>
      <name val="Times New Roman UniToktom"/>
      <charset val="204"/>
    </font>
    <font>
      <sz val="14"/>
      <name val="Times New Roman CE"/>
      <family val="1"/>
      <charset val="238"/>
    </font>
    <font>
      <b/>
      <sz val="14"/>
      <name val="Times New Roman CE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 UniToktom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0.249977111117893"/>
      <name val="Times New Roman"/>
      <family val="1"/>
      <charset val="204"/>
    </font>
    <font>
      <sz val="10"/>
      <color theme="1"/>
      <name val="Times New Roman CE"/>
      <family val="1"/>
      <charset val="238"/>
    </font>
    <font>
      <b/>
      <i/>
      <sz val="10"/>
      <color theme="1"/>
      <name val="Times New Roman CE"/>
      <family val="1"/>
      <charset val="238"/>
    </font>
    <font>
      <i/>
      <sz val="10"/>
      <color theme="1"/>
      <name val="Times New Roman CE"/>
      <charset val="204"/>
    </font>
    <font>
      <sz val="10"/>
      <color theme="1"/>
      <name val="Times New Roman CE"/>
      <charset val="204"/>
    </font>
    <font>
      <b/>
      <sz val="10"/>
      <color theme="1"/>
      <name val="Times New Roman CE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7" fillId="0" borderId="0"/>
    <xf numFmtId="0" fontId="2" fillId="0" borderId="0"/>
    <xf numFmtId="0" fontId="42" fillId="0" borderId="0"/>
    <xf numFmtId="0" fontId="1" fillId="0" borderId="0"/>
    <xf numFmtId="0" fontId="1" fillId="0" borderId="0"/>
    <xf numFmtId="9" fontId="53" fillId="0" borderId="0" applyFont="0" applyFill="0" applyBorder="0" applyAlignment="0" applyProtection="0"/>
  </cellStyleXfs>
  <cellXfs count="336">
    <xf numFmtId="0" fontId="0" fillId="0" borderId="0" xfId="0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11" fillId="0" borderId="0" xfId="1" applyFont="1" applyFill="1"/>
    <xf numFmtId="165" fontId="12" fillId="0" borderId="0" xfId="0" applyNumberFormat="1" applyFont="1" applyFill="1"/>
    <xf numFmtId="0" fontId="10" fillId="0" borderId="0" xfId="0" applyFont="1" applyFill="1"/>
    <xf numFmtId="0" fontId="4" fillId="0" borderId="0" xfId="0" applyFont="1" applyFill="1" applyAlignment="1">
      <alignment horizontal="right"/>
    </xf>
    <xf numFmtId="0" fontId="11" fillId="0" borderId="0" xfId="0" applyFont="1" applyBorder="1"/>
    <xf numFmtId="165" fontId="10" fillId="0" borderId="0" xfId="0" applyNumberFormat="1" applyFont="1" applyFill="1"/>
    <xf numFmtId="0" fontId="13" fillId="0" borderId="0" xfId="0" applyFont="1"/>
    <xf numFmtId="0" fontId="13" fillId="0" borderId="0" xfId="0" applyFont="1" applyFill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165" fontId="17" fillId="0" borderId="9" xfId="0" applyNumberFormat="1" applyFont="1" applyFill="1" applyBorder="1"/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0" fillId="0" borderId="2" xfId="0" applyFont="1" applyFill="1" applyBorder="1"/>
    <xf numFmtId="165" fontId="10" fillId="0" borderId="2" xfId="0" applyNumberFormat="1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2" xfId="0" applyFont="1" applyFill="1" applyBorder="1"/>
    <xf numFmtId="165" fontId="14" fillId="0" borderId="2" xfId="0" applyNumberFormat="1" applyFont="1" applyFill="1" applyBorder="1"/>
    <xf numFmtId="165" fontId="20" fillId="0" borderId="2" xfId="0" applyNumberFormat="1" applyFont="1" applyFill="1" applyBorder="1"/>
    <xf numFmtId="49" fontId="21" fillId="0" borderId="2" xfId="0" applyNumberFormat="1" applyFont="1" applyFill="1" applyBorder="1" applyAlignment="1">
      <alignment horizontal="right"/>
    </xf>
    <xf numFmtId="165" fontId="21" fillId="0" borderId="2" xfId="0" applyNumberFormat="1" applyFont="1" applyFill="1" applyBorder="1"/>
    <xf numFmtId="165" fontId="22" fillId="0" borderId="2" xfId="0" applyNumberFormat="1" applyFont="1" applyFill="1" applyBorder="1"/>
    <xf numFmtId="0" fontId="21" fillId="0" borderId="0" xfId="0" applyFont="1" applyFill="1"/>
    <xf numFmtId="49" fontId="20" fillId="0" borderId="2" xfId="0" applyNumberFormat="1" applyFont="1" applyFill="1" applyBorder="1" applyAlignment="1">
      <alignment horizontal="right"/>
    </xf>
    <xf numFmtId="0" fontId="20" fillId="0" borderId="2" xfId="0" applyFont="1" applyFill="1" applyBorder="1" applyAlignment="1">
      <alignment wrapText="1"/>
    </xf>
    <xf numFmtId="0" fontId="20" fillId="0" borderId="0" xfId="0" applyFont="1" applyFill="1"/>
    <xf numFmtId="0" fontId="10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165" fontId="17" fillId="0" borderId="2" xfId="0" applyNumberFormat="1" applyFont="1" applyFill="1" applyBorder="1"/>
    <xf numFmtId="0" fontId="13" fillId="0" borderId="2" xfId="0" applyFont="1" applyFill="1" applyBorder="1"/>
    <xf numFmtId="0" fontId="20" fillId="0" borderId="2" xfId="0" applyFont="1" applyFill="1" applyBorder="1"/>
    <xf numFmtId="165" fontId="13" fillId="0" borderId="2" xfId="0" applyNumberFormat="1" applyFont="1" applyFill="1" applyBorder="1"/>
    <xf numFmtId="1" fontId="4" fillId="0" borderId="0" xfId="1" applyNumberFormat="1" applyFont="1" applyFill="1" applyBorder="1"/>
    <xf numFmtId="166" fontId="4" fillId="0" borderId="0" xfId="1" applyNumberFormat="1" applyFont="1" applyFill="1"/>
    <xf numFmtId="0" fontId="4" fillId="0" borderId="0" xfId="1" applyFont="1" applyFill="1"/>
    <xf numFmtId="165" fontId="4" fillId="0" borderId="0" xfId="1" applyNumberFormat="1" applyFont="1" applyFill="1"/>
    <xf numFmtId="1" fontId="23" fillId="0" borderId="0" xfId="1" applyNumberFormat="1" applyFont="1" applyFill="1" applyBorder="1"/>
    <xf numFmtId="166" fontId="23" fillId="0" borderId="0" xfId="1" applyNumberFormat="1" applyFont="1" applyFill="1"/>
    <xf numFmtId="0" fontId="23" fillId="0" borderId="0" xfId="1" applyFont="1" applyFill="1"/>
    <xf numFmtId="0" fontId="24" fillId="0" borderId="0" xfId="1" applyFont="1" applyFill="1"/>
    <xf numFmtId="0" fontId="13" fillId="0" borderId="0" xfId="0" applyFont="1" applyFill="1"/>
    <xf numFmtId="0" fontId="15" fillId="0" borderId="12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13" xfId="0" applyFont="1" applyFill="1" applyBorder="1"/>
    <xf numFmtId="0" fontId="11" fillId="0" borderId="2" xfId="0" applyFont="1" applyFill="1" applyBorder="1"/>
    <xf numFmtId="166" fontId="13" fillId="0" borderId="2" xfId="0" applyNumberFormat="1" applyFont="1" applyFill="1" applyBorder="1"/>
    <xf numFmtId="0" fontId="13" fillId="0" borderId="3" xfId="0" applyFont="1" applyFill="1" applyBorder="1"/>
    <xf numFmtId="165" fontId="11" fillId="0" borderId="2" xfId="0" applyNumberFormat="1" applyFont="1" applyFill="1" applyBorder="1"/>
    <xf numFmtId="165" fontId="11" fillId="0" borderId="3" xfId="0" applyNumberFormat="1" applyFont="1" applyFill="1" applyBorder="1"/>
    <xf numFmtId="165" fontId="25" fillId="0" borderId="2" xfId="0" applyNumberFormat="1" applyFont="1" applyFill="1" applyBorder="1"/>
    <xf numFmtId="165" fontId="13" fillId="0" borderId="4" xfId="0" applyNumberFormat="1" applyFont="1" applyFill="1" applyBorder="1"/>
    <xf numFmtId="166" fontId="13" fillId="0" borderId="3" xfId="0" applyNumberFormat="1" applyFont="1" applyFill="1" applyBorder="1"/>
    <xf numFmtId="165" fontId="13" fillId="0" borderId="0" xfId="0" applyNumberFormat="1" applyFont="1" applyFill="1"/>
    <xf numFmtId="165" fontId="11" fillId="0" borderId="4" xfId="0" applyNumberFormat="1" applyFont="1" applyFill="1" applyBorder="1"/>
    <xf numFmtId="165" fontId="26" fillId="0" borderId="2" xfId="0" applyNumberFormat="1" applyFont="1" applyFill="1" applyBorder="1"/>
    <xf numFmtId="2" fontId="13" fillId="0" borderId="3" xfId="0" applyNumberFormat="1" applyFont="1" applyFill="1" applyBorder="1"/>
    <xf numFmtId="0" fontId="11" fillId="0" borderId="1" xfId="0" applyFont="1" applyFill="1" applyBorder="1"/>
    <xf numFmtId="165" fontId="11" fillId="0" borderId="1" xfId="0" applyNumberFormat="1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165" fontId="11" fillId="0" borderId="0" xfId="0" applyNumberFormat="1" applyFont="1" applyFill="1" applyBorder="1"/>
    <xf numFmtId="0" fontId="27" fillId="0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1" fillId="0" borderId="2" xfId="0" applyFont="1" applyBorder="1"/>
    <xf numFmtId="165" fontId="14" fillId="0" borderId="2" xfId="0" applyNumberFormat="1" applyFont="1" applyFill="1" applyBorder="1" applyAlignment="1">
      <alignment horizontal="center"/>
    </xf>
    <xf numFmtId="0" fontId="11" fillId="0" borderId="0" xfId="1" applyFont="1"/>
    <xf numFmtId="0" fontId="13" fillId="0" borderId="2" xfId="0" applyFont="1" applyBorder="1"/>
    <xf numFmtId="166" fontId="11" fillId="0" borderId="2" xfId="0" applyNumberFormat="1" applyFont="1" applyFill="1" applyBorder="1"/>
    <xf numFmtId="0" fontId="4" fillId="0" borderId="0" xfId="0" applyFont="1" applyFill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165" fontId="13" fillId="0" borderId="0" xfId="0" applyNumberFormat="1" applyFont="1"/>
    <xf numFmtId="0" fontId="13" fillId="0" borderId="0" xfId="0" applyFont="1" applyFill="1" applyBorder="1" applyAlignment="1"/>
    <xf numFmtId="0" fontId="13" fillId="0" borderId="0" xfId="0" applyFont="1" applyBorder="1"/>
    <xf numFmtId="3" fontId="13" fillId="0" borderId="0" xfId="0" applyNumberFormat="1" applyFont="1" applyAlignment="1">
      <alignment horizontal="right"/>
    </xf>
    <xf numFmtId="167" fontId="30" fillId="0" borderId="2" xfId="2" applyNumberFormat="1" applyFont="1" applyFill="1" applyBorder="1" applyAlignment="1">
      <alignment horizontal="center" vertical="center"/>
    </xf>
    <xf numFmtId="167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NumberFormat="1" applyFont="1" applyFill="1" applyBorder="1" applyAlignment="1"/>
    <xf numFmtId="0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31" fillId="0" borderId="2" xfId="2" applyNumberFormat="1" applyFont="1" applyBorder="1"/>
    <xf numFmtId="1" fontId="31" fillId="0" borderId="2" xfId="2" applyNumberFormat="1" applyFont="1" applyBorder="1"/>
    <xf numFmtId="167" fontId="31" fillId="0" borderId="2" xfId="2" applyNumberFormat="1" applyFont="1" applyBorder="1" applyAlignment="1">
      <alignment horizontal="right"/>
    </xf>
    <xf numFmtId="167" fontId="31" fillId="0" borderId="2" xfId="2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13" xfId="0" applyNumberFormat="1" applyBorder="1" applyAlignment="1">
      <alignment horizontal="right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7" fontId="32" fillId="0" borderId="13" xfId="0" applyNumberFormat="1" applyFont="1" applyBorder="1" applyAlignment="1">
      <alignment horizontal="center" vertical="center"/>
    </xf>
    <xf numFmtId="167" fontId="0" fillId="0" borderId="0" xfId="0" applyNumberFormat="1"/>
    <xf numFmtId="0" fontId="11" fillId="0" borderId="2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/>
    <xf numFmtId="0" fontId="13" fillId="0" borderId="0" xfId="1" applyFont="1" applyFill="1"/>
    <xf numFmtId="3" fontId="4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13" fillId="0" borderId="15" xfId="0" applyFont="1" applyFill="1" applyBorder="1" applyAlignment="1">
      <alignment horizontal="center"/>
    </xf>
    <xf numFmtId="166" fontId="28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0" borderId="2" xfId="0" applyFont="1" applyFill="1" applyBorder="1"/>
    <xf numFmtId="0" fontId="13" fillId="0" borderId="0" xfId="1" applyFont="1" applyFill="1" applyAlignment="1">
      <alignment horizontal="right"/>
    </xf>
    <xf numFmtId="0" fontId="31" fillId="0" borderId="0" xfId="0" applyFont="1" applyFill="1"/>
    <xf numFmtId="165" fontId="31" fillId="0" borderId="0" xfId="0" applyNumberFormat="1" applyFont="1" applyFill="1"/>
    <xf numFmtId="165" fontId="10" fillId="0" borderId="2" xfId="0" applyNumberFormat="1" applyFont="1" applyFill="1" applyBorder="1" applyAlignment="1">
      <alignment horizontal="center"/>
    </xf>
    <xf numFmtId="165" fontId="35" fillId="0" borderId="4" xfId="0" applyNumberFormat="1" applyFont="1" applyFill="1" applyBorder="1"/>
    <xf numFmtId="165" fontId="20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165" fontId="21" fillId="0" borderId="0" xfId="0" applyNumberFormat="1" applyFont="1" applyFill="1"/>
    <xf numFmtId="165" fontId="20" fillId="0" borderId="0" xfId="0" applyNumberFormat="1" applyFont="1" applyFill="1"/>
    <xf numFmtId="167" fontId="30" fillId="0" borderId="22" xfId="2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wrapText="1"/>
    </xf>
    <xf numFmtId="166" fontId="13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/>
    </xf>
    <xf numFmtId="166" fontId="11" fillId="0" borderId="0" xfId="0" applyNumberFormat="1" applyFont="1" applyFill="1" applyBorder="1" applyAlignment="1"/>
    <xf numFmtId="0" fontId="11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33" fillId="0" borderId="0" xfId="0" applyFont="1" applyFill="1"/>
    <xf numFmtId="166" fontId="13" fillId="0" borderId="2" xfId="0" applyNumberFormat="1" applyFont="1" applyFill="1" applyBorder="1" applyAlignment="1">
      <alignment horizontal="center"/>
    </xf>
    <xf numFmtId="0" fontId="29" fillId="0" borderId="0" xfId="0" applyFont="1" applyFill="1"/>
    <xf numFmtId="165" fontId="43" fillId="0" borderId="4" xfId="0" applyNumberFormat="1" applyFont="1" applyFill="1" applyBorder="1"/>
    <xf numFmtId="0" fontId="36" fillId="0" borderId="2" xfId="0" applyFont="1" applyBorder="1"/>
    <xf numFmtId="0" fontId="0" fillId="0" borderId="0" xfId="0" applyFont="1" applyFill="1"/>
    <xf numFmtId="0" fontId="0" fillId="0" borderId="0" xfId="0" applyFont="1" applyFill="1" applyBorder="1"/>
    <xf numFmtId="165" fontId="0" fillId="0" borderId="0" xfId="0" applyNumberFormat="1" applyFont="1" applyFill="1"/>
    <xf numFmtId="166" fontId="0" fillId="0" borderId="0" xfId="0" applyNumberFormat="1" applyFont="1" applyFill="1"/>
    <xf numFmtId="0" fontId="0" fillId="0" borderId="0" xfId="0" applyFont="1" applyFill="1" applyAlignment="1">
      <alignment vertical="center"/>
    </xf>
    <xf numFmtId="165" fontId="15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0" xfId="0" applyFont="1"/>
    <xf numFmtId="0" fontId="13" fillId="0" borderId="0" xfId="1" applyFont="1" applyAlignment="1">
      <alignment horizontal="right"/>
    </xf>
    <xf numFmtId="0" fontId="13" fillId="0" borderId="1" xfId="1" applyFont="1" applyBorder="1" applyAlignment="1">
      <alignment horizontal="center" wrapText="1"/>
    </xf>
    <xf numFmtId="0" fontId="13" fillId="0" borderId="2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0" fontId="34" fillId="0" borderId="2" xfId="1" applyFont="1" applyBorder="1"/>
    <xf numFmtId="0" fontId="38" fillId="0" borderId="2" xfId="1" applyFont="1" applyBorder="1"/>
    <xf numFmtId="0" fontId="13" fillId="0" borderId="2" xfId="1" applyFont="1" applyBorder="1" applyAlignment="1">
      <alignment horizontal="left" vertical="center" wrapText="1"/>
    </xf>
    <xf numFmtId="1" fontId="4" fillId="0" borderId="2" xfId="1" applyNumberFormat="1" applyFont="1" applyBorder="1"/>
    <xf numFmtId="165" fontId="13" fillId="0" borderId="2" xfId="1" applyNumberFormat="1" applyFont="1" applyBorder="1"/>
    <xf numFmtId="165" fontId="44" fillId="0" borderId="2" xfId="1" applyNumberFormat="1" applyFont="1" applyBorder="1"/>
    <xf numFmtId="165" fontId="4" fillId="0" borderId="2" xfId="1" applyNumberFormat="1" applyFont="1" applyBorder="1"/>
    <xf numFmtId="0" fontId="31" fillId="0" borderId="2" xfId="0" applyFont="1" applyBorder="1"/>
    <xf numFmtId="0" fontId="13" fillId="0" borderId="2" xfId="1" applyFont="1" applyBorder="1"/>
    <xf numFmtId="0" fontId="11" fillId="0" borderId="2" xfId="1" applyFont="1" applyBorder="1"/>
    <xf numFmtId="0" fontId="39" fillId="0" borderId="2" xfId="1" applyFont="1" applyBorder="1" applyAlignment="1">
      <alignment horizontal="center"/>
    </xf>
    <xf numFmtId="165" fontId="39" fillId="0" borderId="2" xfId="1" applyNumberFormat="1" applyFont="1" applyBorder="1"/>
    <xf numFmtId="165" fontId="45" fillId="0" borderId="2" xfId="1" applyNumberFormat="1" applyFont="1" applyBorder="1"/>
    <xf numFmtId="165" fontId="8" fillId="0" borderId="2" xfId="1" applyNumberFormat="1" applyFont="1" applyBorder="1"/>
    <xf numFmtId="0" fontId="13" fillId="0" borderId="2" xfId="1" applyFont="1" applyBorder="1" applyAlignment="1">
      <alignment wrapText="1"/>
    </xf>
    <xf numFmtId="165" fontId="6" fillId="0" borderId="2" xfId="1" applyNumberFormat="1" applyFont="1" applyBorder="1" applyAlignment="1">
      <alignment horizontal="center"/>
    </xf>
    <xf numFmtId="0" fontId="39" fillId="0" borderId="2" xfId="1" applyFont="1" applyBorder="1" applyAlignment="1">
      <alignment horizontal="center" wrapText="1"/>
    </xf>
    <xf numFmtId="0" fontId="40" fillId="0" borderId="2" xfId="1" applyFont="1" applyBorder="1"/>
    <xf numFmtId="165" fontId="40" fillId="0" borderId="2" xfId="1" applyNumberFormat="1" applyFont="1" applyBorder="1"/>
    <xf numFmtId="165" fontId="46" fillId="0" borderId="2" xfId="1" applyNumberFormat="1" applyFont="1" applyBorder="1"/>
    <xf numFmtId="165" fontId="9" fillId="0" borderId="2" xfId="1" applyNumberFormat="1" applyFont="1" applyBorder="1"/>
    <xf numFmtId="166" fontId="31" fillId="0" borderId="2" xfId="0" applyNumberFormat="1" applyFont="1" applyBorder="1"/>
    <xf numFmtId="0" fontId="3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165" fontId="47" fillId="0" borderId="2" xfId="1" applyNumberFormat="1" applyFont="1" applyBorder="1"/>
    <xf numFmtId="165" fontId="6" fillId="0" borderId="2" xfId="1" applyNumberFormat="1" applyFont="1" applyBorder="1"/>
    <xf numFmtId="0" fontId="34" fillId="0" borderId="27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34" fillId="0" borderId="2" xfId="7" applyFont="1" applyBorder="1"/>
    <xf numFmtId="0" fontId="34" fillId="0" borderId="2" xfId="7" applyFont="1" applyBorder="1" applyAlignment="1">
      <alignment wrapText="1"/>
    </xf>
    <xf numFmtId="165" fontId="41" fillId="0" borderId="2" xfId="7" applyNumberFormat="1" applyFont="1" applyBorder="1" applyAlignment="1">
      <alignment horizontal="right" wrapText="1"/>
    </xf>
    <xf numFmtId="0" fontId="11" fillId="0" borderId="2" xfId="1" applyFont="1" applyBorder="1" applyAlignment="1">
      <alignment wrapText="1"/>
    </xf>
    <xf numFmtId="165" fontId="30" fillId="0" borderId="2" xfId="0" applyNumberFormat="1" applyFont="1" applyBorder="1"/>
    <xf numFmtId="0" fontId="11" fillId="0" borderId="3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65" fontId="5" fillId="0" borderId="2" xfId="1" applyNumberFormat="1" applyFont="1" applyBorder="1"/>
    <xf numFmtId="165" fontId="5" fillId="0" borderId="4" xfId="1" applyNumberFormat="1" applyFont="1" applyBorder="1"/>
    <xf numFmtId="165" fontId="48" fillId="0" borderId="4" xfId="1" applyNumberFormat="1" applyFont="1" applyBorder="1"/>
    <xf numFmtId="0" fontId="39" fillId="0" borderId="3" xfId="1" applyFont="1" applyBorder="1"/>
    <xf numFmtId="165" fontId="31" fillId="0" borderId="2" xfId="1" applyNumberFormat="1" applyFont="1" applyBorder="1"/>
    <xf numFmtId="0" fontId="4" fillId="0" borderId="3" xfId="1" applyFont="1" applyBorder="1"/>
    <xf numFmtId="0" fontId="13" fillId="0" borderId="3" xfId="1" applyFont="1" applyBorder="1"/>
    <xf numFmtId="165" fontId="31" fillId="0" borderId="2" xfId="0" applyNumberFormat="1" applyFont="1" applyBorder="1"/>
    <xf numFmtId="0" fontId="7" fillId="0" borderId="3" xfId="1" applyFont="1" applyBorder="1" applyAlignment="1">
      <alignment horizontal="center"/>
    </xf>
    <xf numFmtId="166" fontId="11" fillId="0" borderId="2" xfId="0" applyNumberFormat="1" applyFont="1" applyFill="1" applyBorder="1" applyAlignment="1">
      <alignment horizontal="right"/>
    </xf>
    <xf numFmtId="166" fontId="13" fillId="0" borderId="2" xfId="0" applyNumberFormat="1" applyFont="1" applyFill="1" applyBorder="1" applyAlignment="1">
      <alignment horizontal="right"/>
    </xf>
    <xf numFmtId="166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6" fontId="13" fillId="3" borderId="2" xfId="0" applyNumberFormat="1" applyFont="1" applyFill="1" applyBorder="1" applyAlignment="1">
      <alignment horizontal="right"/>
    </xf>
    <xf numFmtId="165" fontId="13" fillId="3" borderId="2" xfId="0" applyNumberFormat="1" applyFont="1" applyFill="1" applyBorder="1" applyAlignment="1">
      <alignment horizontal="right"/>
    </xf>
    <xf numFmtId="0" fontId="13" fillId="3" borderId="13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/>
    </xf>
    <xf numFmtId="166" fontId="13" fillId="4" borderId="2" xfId="0" applyNumberFormat="1" applyFont="1" applyFill="1" applyBorder="1" applyAlignment="1">
      <alignment horizontal="right"/>
    </xf>
    <xf numFmtId="165" fontId="13" fillId="4" borderId="2" xfId="0" applyNumberFormat="1" applyFont="1" applyFill="1" applyBorder="1" applyAlignment="1">
      <alignment horizontal="right"/>
    </xf>
    <xf numFmtId="0" fontId="13" fillId="4" borderId="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6" fontId="33" fillId="0" borderId="0" xfId="0" applyNumberFormat="1" applyFont="1" applyFill="1"/>
    <xf numFmtId="0" fontId="33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/>
    </xf>
    <xf numFmtId="166" fontId="13" fillId="0" borderId="13" xfId="0" applyNumberFormat="1" applyFont="1" applyFill="1" applyBorder="1" applyAlignment="1">
      <alignment horizontal="right"/>
    </xf>
    <xf numFmtId="0" fontId="13" fillId="0" borderId="30" xfId="0" applyFont="1" applyFill="1" applyBorder="1" applyAlignment="1">
      <alignment horizontal="center"/>
    </xf>
    <xf numFmtId="166" fontId="13" fillId="0" borderId="30" xfId="0" applyNumberFormat="1" applyFont="1" applyFill="1" applyBorder="1" applyAlignment="1">
      <alignment horizontal="right"/>
    </xf>
    <xf numFmtId="166" fontId="13" fillId="0" borderId="15" xfId="0" applyNumberFormat="1" applyFont="1" applyFill="1" applyBorder="1" applyAlignment="1">
      <alignment horizontal="right"/>
    </xf>
    <xf numFmtId="166" fontId="13" fillId="0" borderId="15" xfId="0" applyNumberFormat="1" applyFont="1" applyFill="1" applyBorder="1" applyAlignment="1">
      <alignment horizontal="right" vertical="center"/>
    </xf>
    <xf numFmtId="166" fontId="13" fillId="0" borderId="30" xfId="0" applyNumberFormat="1" applyFont="1" applyFill="1" applyBorder="1" applyAlignment="1">
      <alignment horizontal="right" vertical="center"/>
    </xf>
    <xf numFmtId="166" fontId="11" fillId="0" borderId="15" xfId="0" applyNumberFormat="1" applyFont="1" applyFill="1" applyBorder="1" applyAlignment="1">
      <alignment horizontal="right"/>
    </xf>
    <xf numFmtId="166" fontId="0" fillId="0" borderId="0" xfId="0" applyNumberFormat="1" applyFont="1" applyFill="1" applyAlignment="1">
      <alignment vertical="center"/>
    </xf>
    <xf numFmtId="166" fontId="33" fillId="0" borderId="0" xfId="0" applyNumberFormat="1" applyFont="1" applyFill="1" applyAlignment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/>
    </xf>
    <xf numFmtId="166" fontId="13" fillId="0" borderId="32" xfId="0" applyNumberFormat="1" applyFont="1" applyFill="1" applyBorder="1" applyAlignment="1">
      <alignment horizontal="right"/>
    </xf>
    <xf numFmtId="166" fontId="13" fillId="0" borderId="32" xfId="0" applyNumberFormat="1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horizontal="left" vertical="center" wrapText="1"/>
    </xf>
    <xf numFmtId="165" fontId="13" fillId="0" borderId="13" xfId="0" applyNumberFormat="1" applyFont="1" applyFill="1" applyBorder="1" applyAlignment="1">
      <alignment horizontal="right"/>
    </xf>
    <xf numFmtId="165" fontId="13" fillId="0" borderId="30" xfId="0" applyNumberFormat="1" applyFont="1" applyFill="1" applyBorder="1" applyAlignment="1">
      <alignment horizontal="right"/>
    </xf>
    <xf numFmtId="0" fontId="13" fillId="0" borderId="32" xfId="0" applyFont="1" applyFill="1" applyBorder="1" applyAlignment="1">
      <alignment horizontal="center" wrapText="1"/>
    </xf>
    <xf numFmtId="165" fontId="13" fillId="0" borderId="32" xfId="0" applyNumberFormat="1" applyFont="1" applyFill="1" applyBorder="1" applyAlignment="1">
      <alignment horizontal="right"/>
    </xf>
    <xf numFmtId="165" fontId="13" fillId="0" borderId="15" xfId="0" applyNumberFormat="1" applyFont="1" applyFill="1" applyBorder="1" applyAlignment="1">
      <alignment horizontal="right"/>
    </xf>
    <xf numFmtId="165" fontId="33" fillId="0" borderId="0" xfId="0" applyNumberFormat="1" applyFont="1" applyFill="1"/>
    <xf numFmtId="0" fontId="13" fillId="0" borderId="3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166" fontId="13" fillId="0" borderId="15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vertical="center" wrapText="1"/>
    </xf>
    <xf numFmtId="166" fontId="13" fillId="0" borderId="30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vertical="center"/>
    </xf>
    <xf numFmtId="165" fontId="13" fillId="0" borderId="32" xfId="0" applyNumberFormat="1" applyFont="1" applyFill="1" applyBorder="1" applyAlignment="1">
      <alignment vertical="center"/>
    </xf>
    <xf numFmtId="0" fontId="13" fillId="0" borderId="32" xfId="0" applyFont="1" applyFill="1" applyBorder="1" applyAlignment="1">
      <alignment vertical="center" wrapText="1"/>
    </xf>
    <xf numFmtId="166" fontId="54" fillId="0" borderId="0" xfId="0" applyNumberFormat="1" applyFont="1" applyFill="1"/>
    <xf numFmtId="0" fontId="13" fillId="0" borderId="1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 indent="3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0" fontId="13" fillId="0" borderId="1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31" fillId="0" borderId="1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51" fillId="0" borderId="1" xfId="1" applyFont="1" applyBorder="1" applyAlignment="1">
      <alignment horizontal="center" vertical="center" wrapText="1"/>
    </xf>
    <xf numFmtId="0" fontId="51" fillId="0" borderId="1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2" borderId="20" xfId="0" applyNumberFormat="1" applyFont="1" applyFill="1" applyBorder="1" applyAlignment="1">
      <alignment horizontal="center" vertical="center" wrapText="1"/>
    </xf>
    <xf numFmtId="0" fontId="11" fillId="2" borderId="26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3"/>
    <cellStyle name="Обычный 2 2" xfId="4"/>
    <cellStyle name="Обычный 2 2 2" xfId="7"/>
    <cellStyle name="Обычный 2 2 3" xfId="6"/>
    <cellStyle name="Обычный 3" xfId="1"/>
    <cellStyle name="Обычный 4" xfId="5"/>
    <cellStyle name="Процентный 2" xfId="8"/>
    <cellStyle name="Финансовый 2" xfId="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72;&#1087;&#1082;&#1080;\&#1076;&#1086;&#1082;&#1091;&#1084;&#1077;&#1085;&#1090;&#1099;%20&#1075;&#1086;&#1088;%20&#1060;&#1059;\&#1076;&#1086;&#1082;.2006\&#1086;&#1090;&#1095;&#1077;&#1090;%202003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43;&#1083;&#1072;&#1074;&#1085;&#1086;&#1077;%20&#1084;&#1077;&#1085;&#1102;\www.NURBEK@.mail.ru\&#1056;&#1040;&#1057;&#1061;&#1054;&#1044;&#1067;\2003\&#1086;&#1090;&#1095;&#1077;&#1090;%202003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03"/>
  <sheetViews>
    <sheetView zoomScale="110" zoomScaleNormal="110" workbookViewId="0">
      <pane xSplit="2" ySplit="5" topLeftCell="C111" activePane="bottomRight" state="frozen"/>
      <selection pane="topRight" activeCell="C1" sqref="C1"/>
      <selection pane="bottomLeft" activeCell="A6" sqref="A6"/>
      <selection pane="bottomRight" activeCell="F145" sqref="F145"/>
    </sheetView>
  </sheetViews>
  <sheetFormatPr defaultColWidth="9.140625" defaultRowHeight="12.75"/>
  <cols>
    <col min="1" max="1" width="3" style="140" bestFit="1" customWidth="1"/>
    <col min="2" max="2" width="34.28515625" style="140" customWidth="1"/>
    <col min="3" max="3" width="8.42578125" style="140" bestFit="1" customWidth="1"/>
    <col min="4" max="4" width="10.7109375" style="140" hidden="1" customWidth="1"/>
    <col min="5" max="5" width="13" style="140" customWidth="1"/>
    <col min="6" max="6" width="11.5703125" style="140" customWidth="1"/>
    <col min="7" max="7" width="9.42578125" style="140" customWidth="1"/>
    <col min="8" max="8" width="9" style="140" customWidth="1"/>
    <col min="9" max="9" width="44.7109375" style="140" customWidth="1"/>
    <col min="10" max="11" width="9.140625" style="140" customWidth="1"/>
    <col min="12" max="12" width="9.140625" style="135" customWidth="1"/>
    <col min="13" max="16384" width="9.140625" style="140"/>
  </cols>
  <sheetData>
    <row r="3" spans="1:12" ht="27" customHeight="1">
      <c r="A3" s="278" t="s">
        <v>205</v>
      </c>
      <c r="B3" s="279"/>
      <c r="C3" s="279"/>
      <c r="D3" s="279"/>
      <c r="E3" s="279"/>
      <c r="F3" s="279"/>
      <c r="G3" s="279"/>
      <c r="H3" s="279"/>
      <c r="I3" s="279"/>
    </row>
    <row r="4" spans="1:12" ht="70.5" customHeight="1">
      <c r="A4" s="208" t="s">
        <v>2</v>
      </c>
      <c r="B4" s="208" t="s">
        <v>101</v>
      </c>
      <c r="C4" s="208" t="s">
        <v>206</v>
      </c>
      <c r="D4" s="218" t="s">
        <v>102</v>
      </c>
      <c r="E4" s="218" t="s">
        <v>262</v>
      </c>
      <c r="F4" s="218" t="s">
        <v>261</v>
      </c>
      <c r="G4" s="218" t="s">
        <v>180</v>
      </c>
      <c r="H4" s="218" t="s">
        <v>179</v>
      </c>
      <c r="I4" s="208" t="s">
        <v>207</v>
      </c>
    </row>
    <row r="5" spans="1:12">
      <c r="A5" s="133">
        <v>1</v>
      </c>
      <c r="B5" s="133">
        <v>2</v>
      </c>
      <c r="C5" s="133">
        <v>3</v>
      </c>
      <c r="D5" s="133">
        <v>4</v>
      </c>
      <c r="E5" s="133">
        <v>4</v>
      </c>
      <c r="F5" s="133">
        <v>5</v>
      </c>
      <c r="G5" s="133">
        <v>6</v>
      </c>
      <c r="H5" s="133">
        <v>7</v>
      </c>
      <c r="I5" s="133">
        <v>8</v>
      </c>
    </row>
    <row r="6" spans="1:12">
      <c r="A6" s="281"/>
      <c r="B6" s="281" t="s">
        <v>208</v>
      </c>
      <c r="C6" s="81">
        <v>2111</v>
      </c>
      <c r="D6" s="202"/>
      <c r="E6" s="202"/>
      <c r="F6" s="203">
        <v>420</v>
      </c>
      <c r="G6" s="202"/>
      <c r="H6" s="203"/>
      <c r="I6" s="261" t="s">
        <v>227</v>
      </c>
    </row>
    <row r="7" spans="1:12">
      <c r="A7" s="271"/>
      <c r="B7" s="271"/>
      <c r="C7" s="81">
        <v>2111</v>
      </c>
      <c r="D7" s="202"/>
      <c r="E7" s="202"/>
      <c r="F7" s="203">
        <v>930.8</v>
      </c>
      <c r="G7" s="202"/>
      <c r="H7" s="203"/>
      <c r="I7" s="277" t="s">
        <v>273</v>
      </c>
    </row>
    <row r="8" spans="1:12">
      <c r="A8" s="271"/>
      <c r="B8" s="271"/>
      <c r="C8" s="81">
        <v>2121</v>
      </c>
      <c r="D8" s="202"/>
      <c r="E8" s="202"/>
      <c r="F8" s="203">
        <v>139.1</v>
      </c>
      <c r="G8" s="202"/>
      <c r="H8" s="203"/>
      <c r="I8" s="277"/>
    </row>
    <row r="9" spans="1:12">
      <c r="A9" s="271"/>
      <c r="B9" s="271"/>
      <c r="C9" s="81">
        <v>2121</v>
      </c>
      <c r="D9" s="202"/>
      <c r="E9" s="202">
        <v>38.6</v>
      </c>
      <c r="F9" s="203"/>
      <c r="G9" s="202"/>
      <c r="H9" s="203"/>
      <c r="I9" s="261" t="s">
        <v>218</v>
      </c>
    </row>
    <row r="10" spans="1:12">
      <c r="A10" s="271"/>
      <c r="B10" s="271"/>
      <c r="C10" s="81">
        <v>2215</v>
      </c>
      <c r="D10" s="202"/>
      <c r="E10" s="202">
        <v>40</v>
      </c>
      <c r="F10" s="202"/>
      <c r="G10" s="202"/>
      <c r="H10" s="202"/>
      <c r="I10" s="261" t="s">
        <v>212</v>
      </c>
    </row>
    <row r="11" spans="1:12">
      <c r="A11" s="271"/>
      <c r="B11" s="271"/>
      <c r="C11" s="81">
        <v>2222</v>
      </c>
      <c r="D11" s="202"/>
      <c r="E11" s="202"/>
      <c r="F11" s="202">
        <v>40</v>
      </c>
      <c r="G11" s="202"/>
      <c r="H11" s="202"/>
      <c r="I11" s="261" t="s">
        <v>274</v>
      </c>
    </row>
    <row r="12" spans="1:12" ht="13.5" thickBot="1">
      <c r="A12" s="272"/>
      <c r="B12" s="272"/>
      <c r="C12" s="230">
        <v>3112</v>
      </c>
      <c r="D12" s="231"/>
      <c r="E12" s="231"/>
      <c r="F12" s="231">
        <v>300</v>
      </c>
      <c r="G12" s="231"/>
      <c r="H12" s="231"/>
      <c r="I12" s="262" t="s">
        <v>316</v>
      </c>
      <c r="J12" s="143">
        <f>SUM(E6:E12)</f>
        <v>78.599999999999994</v>
      </c>
      <c r="K12" s="143">
        <f>SUM(F6:F12)</f>
        <v>1829.8999999999999</v>
      </c>
      <c r="L12" s="226">
        <f>K12-J12</f>
        <v>1751.3</v>
      </c>
    </row>
    <row r="13" spans="1:12" s="144" customFormat="1">
      <c r="A13" s="264"/>
      <c r="B13" s="264" t="s">
        <v>77</v>
      </c>
      <c r="C13" s="114">
        <v>2111</v>
      </c>
      <c r="D13" s="232"/>
      <c r="E13" s="232">
        <v>128.80000000000001</v>
      </c>
      <c r="F13" s="233"/>
      <c r="G13" s="232"/>
      <c r="H13" s="233"/>
      <c r="I13" s="276" t="s">
        <v>211</v>
      </c>
      <c r="L13" s="227"/>
    </row>
    <row r="14" spans="1:12" s="144" customFormat="1" ht="13.5" thickBot="1">
      <c r="A14" s="266"/>
      <c r="B14" s="266"/>
      <c r="C14" s="230">
        <v>2121</v>
      </c>
      <c r="D14" s="231"/>
      <c r="E14" s="231">
        <v>22.2</v>
      </c>
      <c r="F14" s="234"/>
      <c r="G14" s="231"/>
      <c r="H14" s="234"/>
      <c r="I14" s="280"/>
      <c r="J14" s="236">
        <f>SUM(E13:E14)</f>
        <v>151</v>
      </c>
      <c r="L14" s="227"/>
    </row>
    <row r="15" spans="1:12" s="144" customFormat="1">
      <c r="A15" s="264"/>
      <c r="B15" s="264" t="s">
        <v>219</v>
      </c>
      <c r="C15" s="114">
        <v>2222</v>
      </c>
      <c r="D15" s="232"/>
      <c r="E15" s="232">
        <v>34.5</v>
      </c>
      <c r="F15" s="235"/>
      <c r="G15" s="232"/>
      <c r="H15" s="233"/>
      <c r="I15" s="276" t="s">
        <v>220</v>
      </c>
      <c r="L15" s="227"/>
    </row>
    <row r="16" spans="1:12" s="144" customFormat="1">
      <c r="A16" s="265"/>
      <c r="B16" s="265"/>
      <c r="C16" s="81">
        <v>3112</v>
      </c>
      <c r="D16" s="202"/>
      <c r="E16" s="202"/>
      <c r="F16" s="202">
        <v>34.5</v>
      </c>
      <c r="G16" s="202"/>
      <c r="H16" s="203"/>
      <c r="I16" s="277"/>
      <c r="L16" s="227"/>
    </row>
    <row r="17" spans="1:12" s="144" customFormat="1">
      <c r="A17" s="265"/>
      <c r="B17" s="265"/>
      <c r="C17" s="81">
        <v>2222</v>
      </c>
      <c r="D17" s="202"/>
      <c r="E17" s="202">
        <v>38</v>
      </c>
      <c r="F17" s="202"/>
      <c r="G17" s="202"/>
      <c r="H17" s="203"/>
      <c r="I17" s="277" t="s">
        <v>221</v>
      </c>
      <c r="L17" s="227"/>
    </row>
    <row r="18" spans="1:12" s="144" customFormat="1" ht="13.5" thickBot="1">
      <c r="A18" s="266"/>
      <c r="B18" s="266"/>
      <c r="C18" s="230">
        <v>2215</v>
      </c>
      <c r="D18" s="231"/>
      <c r="E18" s="231"/>
      <c r="F18" s="231">
        <v>38</v>
      </c>
      <c r="G18" s="231"/>
      <c r="H18" s="234"/>
      <c r="I18" s="280"/>
      <c r="J18" s="236">
        <f>SUM(E15:E17)</f>
        <v>72.5</v>
      </c>
      <c r="K18" s="236">
        <f>SUM(F15:F18)</f>
        <v>72.5</v>
      </c>
      <c r="L18" s="237">
        <f>K18-J18</f>
        <v>0</v>
      </c>
    </row>
    <row r="19" spans="1:12" s="144" customFormat="1">
      <c r="A19" s="264"/>
      <c r="B19" s="264" t="s">
        <v>210</v>
      </c>
      <c r="C19" s="114">
        <v>2111</v>
      </c>
      <c r="D19" s="232"/>
      <c r="E19" s="232"/>
      <c r="F19" s="232">
        <v>893.3</v>
      </c>
      <c r="G19" s="232"/>
      <c r="H19" s="233"/>
      <c r="I19" s="276" t="s">
        <v>228</v>
      </c>
      <c r="L19" s="227"/>
    </row>
    <row r="20" spans="1:12" s="144" customFormat="1">
      <c r="A20" s="265"/>
      <c r="B20" s="265"/>
      <c r="C20" s="81">
        <v>2121</v>
      </c>
      <c r="D20" s="202"/>
      <c r="E20" s="202"/>
      <c r="F20" s="202">
        <v>133.6</v>
      </c>
      <c r="G20" s="202"/>
      <c r="H20" s="203"/>
      <c r="I20" s="277"/>
      <c r="L20" s="227"/>
    </row>
    <row r="21" spans="1:12" s="144" customFormat="1" ht="13.5" thickBot="1">
      <c r="A21" s="266"/>
      <c r="B21" s="266"/>
      <c r="C21" s="230">
        <v>2222</v>
      </c>
      <c r="D21" s="231"/>
      <c r="E21" s="231"/>
      <c r="F21" s="231">
        <v>160</v>
      </c>
      <c r="G21" s="231"/>
      <c r="H21" s="234"/>
      <c r="I21" s="262" t="s">
        <v>274</v>
      </c>
      <c r="K21" s="236">
        <f>SUM(F19:F21)</f>
        <v>1186.8999999999999</v>
      </c>
      <c r="L21" s="227"/>
    </row>
    <row r="22" spans="1:12" s="144" customFormat="1" ht="25.5">
      <c r="A22" s="264"/>
      <c r="B22" s="264" t="s">
        <v>68</v>
      </c>
      <c r="C22" s="114">
        <v>2215</v>
      </c>
      <c r="D22" s="232"/>
      <c r="E22" s="232">
        <v>200</v>
      </c>
      <c r="F22" s="233"/>
      <c r="G22" s="232"/>
      <c r="H22" s="233"/>
      <c r="I22" s="260" t="s">
        <v>213</v>
      </c>
      <c r="L22" s="227"/>
    </row>
    <row r="23" spans="1:12" s="144" customFormat="1" ht="13.5" thickBot="1">
      <c r="A23" s="266"/>
      <c r="B23" s="266"/>
      <c r="C23" s="230">
        <v>2231</v>
      </c>
      <c r="D23" s="231"/>
      <c r="E23" s="231"/>
      <c r="F23" s="234">
        <v>8</v>
      </c>
      <c r="G23" s="231"/>
      <c r="H23" s="234"/>
      <c r="I23" s="262" t="s">
        <v>287</v>
      </c>
      <c r="J23" s="236">
        <f>E22</f>
        <v>200</v>
      </c>
      <c r="K23" s="236">
        <f>F23</f>
        <v>8</v>
      </c>
      <c r="L23" s="237">
        <f>K23-J23</f>
        <v>-192</v>
      </c>
    </row>
    <row r="24" spans="1:12" s="144" customFormat="1">
      <c r="A24" s="264"/>
      <c r="B24" s="264" t="s">
        <v>214</v>
      </c>
      <c r="C24" s="114">
        <v>2215</v>
      </c>
      <c r="D24" s="232"/>
      <c r="E24" s="232"/>
      <c r="F24" s="233">
        <v>2795</v>
      </c>
      <c r="G24" s="232"/>
      <c r="H24" s="233"/>
      <c r="I24" s="260" t="s">
        <v>288</v>
      </c>
      <c r="L24" s="227"/>
    </row>
    <row r="25" spans="1:12" s="144" customFormat="1">
      <c r="A25" s="265"/>
      <c r="B25" s="265"/>
      <c r="C25" s="81">
        <v>2215</v>
      </c>
      <c r="D25" s="202"/>
      <c r="E25" s="202"/>
      <c r="F25" s="203">
        <v>574</v>
      </c>
      <c r="G25" s="202"/>
      <c r="H25" s="203"/>
      <c r="I25" s="261" t="s">
        <v>238</v>
      </c>
      <c r="L25" s="227"/>
    </row>
    <row r="26" spans="1:12" s="144" customFormat="1" ht="13.5" thickBot="1">
      <c r="A26" s="266"/>
      <c r="B26" s="266"/>
      <c r="C26" s="230">
        <v>3112</v>
      </c>
      <c r="D26" s="231"/>
      <c r="E26" s="231"/>
      <c r="F26" s="234">
        <v>60</v>
      </c>
      <c r="G26" s="231"/>
      <c r="H26" s="234"/>
      <c r="I26" s="262" t="s">
        <v>231</v>
      </c>
      <c r="K26" s="236">
        <f>SUM(F24:F26)</f>
        <v>3429</v>
      </c>
      <c r="L26" s="227"/>
    </row>
    <row r="27" spans="1:12" s="144" customFormat="1" ht="13.5" thickBot="1">
      <c r="A27" s="238"/>
      <c r="B27" s="238" t="s">
        <v>70</v>
      </c>
      <c r="C27" s="239">
        <v>2232</v>
      </c>
      <c r="D27" s="240"/>
      <c r="E27" s="240">
        <v>15</v>
      </c>
      <c r="F27" s="240"/>
      <c r="G27" s="240"/>
      <c r="H27" s="241"/>
      <c r="I27" s="242" t="s">
        <v>215</v>
      </c>
      <c r="J27" s="236">
        <f>E27</f>
        <v>15</v>
      </c>
      <c r="L27" s="227"/>
    </row>
    <row r="28" spans="1:12" s="144" customFormat="1">
      <c r="A28" s="264"/>
      <c r="B28" s="264" t="s">
        <v>216</v>
      </c>
      <c r="C28" s="114">
        <v>2111</v>
      </c>
      <c r="D28" s="232"/>
      <c r="E28" s="232"/>
      <c r="F28" s="232">
        <v>716.4</v>
      </c>
      <c r="G28" s="232"/>
      <c r="H28" s="233"/>
      <c r="I28" s="276" t="s">
        <v>253</v>
      </c>
      <c r="L28" s="227"/>
    </row>
    <row r="29" spans="1:12" s="144" customFormat="1">
      <c r="A29" s="265"/>
      <c r="B29" s="265"/>
      <c r="C29" s="81">
        <v>2121</v>
      </c>
      <c r="D29" s="202"/>
      <c r="E29" s="202"/>
      <c r="F29" s="202">
        <v>107.1</v>
      </c>
      <c r="G29" s="202"/>
      <c r="H29" s="203"/>
      <c r="I29" s="277"/>
      <c r="L29" s="227"/>
    </row>
    <row r="30" spans="1:12" ht="25.5">
      <c r="A30" s="265"/>
      <c r="B30" s="265"/>
      <c r="C30" s="81">
        <v>2215</v>
      </c>
      <c r="D30" s="202"/>
      <c r="E30" s="202"/>
      <c r="F30" s="204">
        <v>340</v>
      </c>
      <c r="G30" s="202"/>
      <c r="H30" s="204"/>
      <c r="I30" s="261" t="s">
        <v>217</v>
      </c>
    </row>
    <row r="31" spans="1:12">
      <c r="A31" s="265"/>
      <c r="B31" s="265"/>
      <c r="C31" s="81">
        <v>2221</v>
      </c>
      <c r="D31" s="202"/>
      <c r="E31" s="202">
        <v>5</v>
      </c>
      <c r="F31" s="204"/>
      <c r="G31" s="202"/>
      <c r="H31" s="204"/>
      <c r="I31" s="261" t="s">
        <v>256</v>
      </c>
    </row>
    <row r="32" spans="1:12">
      <c r="A32" s="265"/>
      <c r="B32" s="265"/>
      <c r="C32" s="81">
        <v>3112</v>
      </c>
      <c r="D32" s="202"/>
      <c r="E32" s="202"/>
      <c r="F32" s="204">
        <v>5</v>
      </c>
      <c r="G32" s="202"/>
      <c r="H32" s="204"/>
      <c r="I32" s="261" t="s">
        <v>257</v>
      </c>
    </row>
    <row r="33" spans="1:12">
      <c r="A33" s="265"/>
      <c r="B33" s="265"/>
      <c r="C33" s="81">
        <v>3112</v>
      </c>
      <c r="D33" s="202"/>
      <c r="E33" s="202"/>
      <c r="F33" s="204">
        <v>60</v>
      </c>
      <c r="G33" s="202"/>
      <c r="H33" s="204"/>
      <c r="I33" s="261" t="s">
        <v>251</v>
      </c>
    </row>
    <row r="34" spans="1:12">
      <c r="A34" s="265"/>
      <c r="B34" s="265"/>
      <c r="C34" s="81">
        <v>2215</v>
      </c>
      <c r="D34" s="202"/>
      <c r="E34" s="202"/>
      <c r="F34" s="204">
        <v>320</v>
      </c>
      <c r="G34" s="202"/>
      <c r="H34" s="204"/>
      <c r="I34" s="261" t="s">
        <v>260</v>
      </c>
    </row>
    <row r="35" spans="1:12">
      <c r="A35" s="265"/>
      <c r="B35" s="265"/>
      <c r="C35" s="81">
        <v>3112</v>
      </c>
      <c r="D35" s="202"/>
      <c r="E35" s="202"/>
      <c r="F35" s="204">
        <v>48</v>
      </c>
      <c r="G35" s="202"/>
      <c r="H35" s="204"/>
      <c r="I35" s="261" t="s">
        <v>255</v>
      </c>
    </row>
    <row r="36" spans="1:12">
      <c r="A36" s="265"/>
      <c r="B36" s="265"/>
      <c r="C36" s="81">
        <v>3111</v>
      </c>
      <c r="D36" s="202"/>
      <c r="E36" s="204">
        <v>3923</v>
      </c>
      <c r="F36" s="204"/>
      <c r="G36" s="202"/>
      <c r="H36" s="204"/>
      <c r="I36" s="261" t="s">
        <v>271</v>
      </c>
    </row>
    <row r="37" spans="1:12" ht="13.5" thickBot="1">
      <c r="A37" s="266"/>
      <c r="B37" s="266"/>
      <c r="C37" s="230">
        <v>2214</v>
      </c>
      <c r="D37" s="231"/>
      <c r="E37" s="231"/>
      <c r="F37" s="244">
        <v>19</v>
      </c>
      <c r="G37" s="231"/>
      <c r="H37" s="244"/>
      <c r="I37" s="262" t="s">
        <v>254</v>
      </c>
      <c r="J37" s="143">
        <f>SUM(E28:E37)</f>
        <v>3928</v>
      </c>
      <c r="K37" s="143">
        <f>SUM(F28:F37)</f>
        <v>1615.5</v>
      </c>
      <c r="L37" s="226">
        <f>K37-J37</f>
        <v>-2312.5</v>
      </c>
    </row>
    <row r="38" spans="1:12" ht="26.25" thickBot="1">
      <c r="A38" s="238"/>
      <c r="B38" s="245" t="s">
        <v>281</v>
      </c>
      <c r="C38" s="239">
        <v>3111</v>
      </c>
      <c r="D38" s="240"/>
      <c r="E38" s="240"/>
      <c r="F38" s="246">
        <v>3923</v>
      </c>
      <c r="G38" s="240"/>
      <c r="H38" s="246"/>
      <c r="I38" s="242" t="s">
        <v>271</v>
      </c>
      <c r="K38" s="140">
        <v>3923</v>
      </c>
    </row>
    <row r="39" spans="1:12">
      <c r="A39" s="264"/>
      <c r="B39" s="267" t="s">
        <v>65</v>
      </c>
      <c r="C39" s="114">
        <v>2111</v>
      </c>
      <c r="D39" s="232"/>
      <c r="E39" s="232">
        <v>156.69999999999999</v>
      </c>
      <c r="F39" s="247"/>
      <c r="G39" s="232"/>
      <c r="H39" s="247"/>
      <c r="I39" s="276" t="s">
        <v>229</v>
      </c>
    </row>
    <row r="40" spans="1:12">
      <c r="A40" s="265"/>
      <c r="B40" s="268"/>
      <c r="C40" s="81">
        <v>2121</v>
      </c>
      <c r="D40" s="202"/>
      <c r="E40" s="202">
        <v>22.2</v>
      </c>
      <c r="F40" s="204"/>
      <c r="G40" s="202"/>
      <c r="H40" s="204"/>
      <c r="I40" s="277"/>
    </row>
    <row r="41" spans="1:12">
      <c r="A41" s="265"/>
      <c r="B41" s="268"/>
      <c r="C41" s="81">
        <v>2222</v>
      </c>
      <c r="D41" s="202"/>
      <c r="E41" s="202"/>
      <c r="F41" s="204">
        <v>1306.2</v>
      </c>
      <c r="G41" s="202"/>
      <c r="H41" s="204"/>
      <c r="I41" s="261" t="s">
        <v>247</v>
      </c>
    </row>
    <row r="42" spans="1:12">
      <c r="A42" s="265"/>
      <c r="B42" s="268"/>
      <c r="C42" s="81">
        <v>2214</v>
      </c>
      <c r="D42" s="202"/>
      <c r="E42" s="202"/>
      <c r="F42" s="204">
        <v>146.44499999999999</v>
      </c>
      <c r="G42" s="202"/>
      <c r="H42" s="204"/>
      <c r="I42" s="261" t="s">
        <v>283</v>
      </c>
    </row>
    <row r="43" spans="1:12">
      <c r="A43" s="265"/>
      <c r="B43" s="268"/>
      <c r="C43" s="81">
        <v>2214</v>
      </c>
      <c r="D43" s="202"/>
      <c r="E43" s="202"/>
      <c r="F43" s="204">
        <v>1500</v>
      </c>
      <c r="G43" s="202"/>
      <c r="H43" s="204"/>
      <c r="I43" s="261" t="s">
        <v>283</v>
      </c>
    </row>
    <row r="44" spans="1:12" ht="38.25">
      <c r="A44" s="265"/>
      <c r="B44" s="268"/>
      <c r="C44" s="81">
        <v>2215</v>
      </c>
      <c r="D44" s="202"/>
      <c r="E44" s="202"/>
      <c r="F44" s="204">
        <f>1172.8+250</f>
        <v>1422.8</v>
      </c>
      <c r="G44" s="202"/>
      <c r="H44" s="204"/>
      <c r="I44" s="261" t="s">
        <v>303</v>
      </c>
    </row>
    <row r="45" spans="1:12">
      <c r="A45" s="265"/>
      <c r="B45" s="268"/>
      <c r="C45" s="81">
        <v>3113</v>
      </c>
      <c r="D45" s="202"/>
      <c r="E45" s="202"/>
      <c r="F45" s="204">
        <v>450</v>
      </c>
      <c r="G45" s="202"/>
      <c r="H45" s="204"/>
      <c r="I45" s="261" t="s">
        <v>302</v>
      </c>
    </row>
    <row r="46" spans="1:12">
      <c r="A46" s="265"/>
      <c r="B46" s="268"/>
      <c r="C46" s="81">
        <v>3111</v>
      </c>
      <c r="D46" s="202"/>
      <c r="E46" s="202"/>
      <c r="F46" s="204">
        <v>700</v>
      </c>
      <c r="G46" s="202"/>
      <c r="H46" s="204"/>
      <c r="I46" s="261" t="s">
        <v>301</v>
      </c>
    </row>
    <row r="47" spans="1:12">
      <c r="A47" s="265"/>
      <c r="B47" s="268"/>
      <c r="C47" s="81">
        <v>3113</v>
      </c>
      <c r="D47" s="202"/>
      <c r="E47" s="202"/>
      <c r="F47" s="204">
        <f>620+1440</f>
        <v>2060</v>
      </c>
      <c r="G47" s="202"/>
      <c r="H47" s="204"/>
      <c r="I47" s="261" t="s">
        <v>252</v>
      </c>
    </row>
    <row r="48" spans="1:12">
      <c r="A48" s="265"/>
      <c r="B48" s="268"/>
      <c r="C48" s="81">
        <v>3111</v>
      </c>
      <c r="D48" s="202"/>
      <c r="E48" s="202"/>
      <c r="F48" s="204">
        <f>3105-250</f>
        <v>2855</v>
      </c>
      <c r="G48" s="202"/>
      <c r="H48" s="204"/>
      <c r="I48" s="261" t="s">
        <v>246</v>
      </c>
    </row>
    <row r="49" spans="1:12" ht="26.25" thickBot="1">
      <c r="A49" s="266"/>
      <c r="B49" s="269"/>
      <c r="C49" s="230">
        <v>3112</v>
      </c>
      <c r="D49" s="231"/>
      <c r="E49" s="231">
        <v>700</v>
      </c>
      <c r="F49" s="244"/>
      <c r="G49" s="231"/>
      <c r="H49" s="244"/>
      <c r="I49" s="262" t="s">
        <v>223</v>
      </c>
      <c r="J49" s="143">
        <f>SUM(E39:E49)</f>
        <v>878.9</v>
      </c>
      <c r="K49" s="143">
        <f>SUM(F39:F49)</f>
        <v>10440.445</v>
      </c>
      <c r="L49" s="226">
        <f>K49-J49</f>
        <v>9561.5450000000001</v>
      </c>
    </row>
    <row r="50" spans="1:12">
      <c r="A50" s="264"/>
      <c r="B50" s="267" t="s">
        <v>209</v>
      </c>
      <c r="C50" s="114">
        <v>2214</v>
      </c>
      <c r="D50" s="232"/>
      <c r="E50" s="232">
        <v>1800</v>
      </c>
      <c r="F50" s="247"/>
      <c r="G50" s="232"/>
      <c r="H50" s="247"/>
      <c r="I50" s="260" t="s">
        <v>222</v>
      </c>
    </row>
    <row r="51" spans="1:12">
      <c r="A51" s="265"/>
      <c r="B51" s="268"/>
      <c r="C51" s="81">
        <v>2111</v>
      </c>
      <c r="D51" s="202"/>
      <c r="E51" s="202"/>
      <c r="F51" s="204">
        <v>8087.7</v>
      </c>
      <c r="G51" s="202"/>
      <c r="H51" s="204"/>
      <c r="I51" s="277" t="s">
        <v>245</v>
      </c>
    </row>
    <row r="52" spans="1:12">
      <c r="A52" s="265"/>
      <c r="B52" s="268"/>
      <c r="C52" s="81">
        <v>2121</v>
      </c>
      <c r="D52" s="202"/>
      <c r="E52" s="202"/>
      <c r="F52" s="204">
        <v>1395.1</v>
      </c>
      <c r="G52" s="202"/>
      <c r="H52" s="204"/>
      <c r="I52" s="277"/>
    </row>
    <row r="53" spans="1:12">
      <c r="A53" s="265"/>
      <c r="B53" s="268"/>
      <c r="C53" s="81">
        <v>2222</v>
      </c>
      <c r="D53" s="202"/>
      <c r="E53" s="202"/>
      <c r="F53" s="204">
        <v>924.5</v>
      </c>
      <c r="G53" s="202"/>
      <c r="H53" s="204"/>
      <c r="I53" s="277"/>
    </row>
    <row r="54" spans="1:12" ht="13.5" thickBot="1">
      <c r="A54" s="266"/>
      <c r="B54" s="269"/>
      <c r="C54" s="230">
        <v>2223</v>
      </c>
      <c r="D54" s="231"/>
      <c r="E54" s="231"/>
      <c r="F54" s="244">
        <v>228</v>
      </c>
      <c r="G54" s="231"/>
      <c r="H54" s="244"/>
      <c r="I54" s="280"/>
      <c r="J54" s="143">
        <f>E50</f>
        <v>1800</v>
      </c>
      <c r="K54" s="142">
        <f>SUM(F51:F54)</f>
        <v>10635.3</v>
      </c>
      <c r="L54" s="248">
        <f>K54-J54</f>
        <v>8835.2999999999993</v>
      </c>
    </row>
    <row r="55" spans="1:12">
      <c r="A55" s="270"/>
      <c r="B55" s="273" t="s">
        <v>242</v>
      </c>
      <c r="C55" s="114">
        <v>2215</v>
      </c>
      <c r="D55" s="232"/>
      <c r="E55" s="232">
        <v>500</v>
      </c>
      <c r="F55" s="247"/>
      <c r="G55" s="232"/>
      <c r="H55" s="247"/>
      <c r="I55" s="260" t="s">
        <v>225</v>
      </c>
    </row>
    <row r="56" spans="1:12">
      <c r="A56" s="271"/>
      <c r="B56" s="274"/>
      <c r="C56" s="81">
        <v>2111</v>
      </c>
      <c r="D56" s="202"/>
      <c r="E56" s="202"/>
      <c r="F56" s="204">
        <v>1847.6</v>
      </c>
      <c r="G56" s="202"/>
      <c r="H56" s="204"/>
      <c r="I56" s="277" t="s">
        <v>290</v>
      </c>
    </row>
    <row r="57" spans="1:12">
      <c r="A57" s="271"/>
      <c r="B57" s="274"/>
      <c r="C57" s="81">
        <v>2121</v>
      </c>
      <c r="D57" s="202"/>
      <c r="E57" s="202"/>
      <c r="F57" s="204">
        <v>317.3</v>
      </c>
      <c r="G57" s="202"/>
      <c r="H57" s="204"/>
      <c r="I57" s="277"/>
    </row>
    <row r="58" spans="1:12" ht="38.25">
      <c r="A58" s="271"/>
      <c r="B58" s="274"/>
      <c r="C58" s="81">
        <v>2222</v>
      </c>
      <c r="D58" s="202"/>
      <c r="E58" s="202"/>
      <c r="F58" s="204">
        <f>6895.72+1220.5</f>
        <v>8116.22</v>
      </c>
      <c r="G58" s="202"/>
      <c r="H58" s="204"/>
      <c r="I58" s="261" t="s">
        <v>250</v>
      </c>
    </row>
    <row r="59" spans="1:12">
      <c r="A59" s="271"/>
      <c r="B59" s="274"/>
      <c r="C59" s="81">
        <v>2222</v>
      </c>
      <c r="D59" s="202"/>
      <c r="E59" s="202"/>
      <c r="F59" s="204">
        <v>1800</v>
      </c>
      <c r="G59" s="202"/>
      <c r="H59" s="204"/>
      <c r="I59" s="261" t="s">
        <v>299</v>
      </c>
    </row>
    <row r="60" spans="1:12">
      <c r="A60" s="271"/>
      <c r="B60" s="274"/>
      <c r="C60" s="81">
        <v>2221</v>
      </c>
      <c r="D60" s="202"/>
      <c r="E60" s="202"/>
      <c r="F60" s="204">
        <v>400</v>
      </c>
      <c r="G60" s="202"/>
      <c r="H60" s="204"/>
      <c r="I60" s="261" t="s">
        <v>304</v>
      </c>
    </row>
    <row r="61" spans="1:12">
      <c r="A61" s="271"/>
      <c r="B61" s="274"/>
      <c r="C61" s="81">
        <v>2215</v>
      </c>
      <c r="D61" s="202"/>
      <c r="E61" s="202"/>
      <c r="F61" s="204">
        <v>200</v>
      </c>
      <c r="G61" s="202"/>
      <c r="H61" s="204"/>
      <c r="I61" s="261" t="s">
        <v>305</v>
      </c>
    </row>
    <row r="62" spans="1:12">
      <c r="A62" s="271"/>
      <c r="B62" s="274"/>
      <c r="C62" s="81">
        <v>3122</v>
      </c>
      <c r="D62" s="202"/>
      <c r="E62" s="202"/>
      <c r="F62" s="204">
        <v>2500</v>
      </c>
      <c r="G62" s="202"/>
      <c r="H62" s="204"/>
      <c r="I62" s="261" t="s">
        <v>306</v>
      </c>
    </row>
    <row r="63" spans="1:12" ht="13.5" thickBot="1">
      <c r="A63" s="272"/>
      <c r="B63" s="275"/>
      <c r="C63" s="230">
        <v>3112</v>
      </c>
      <c r="D63" s="231"/>
      <c r="E63" s="231">
        <v>22949</v>
      </c>
      <c r="F63" s="244"/>
      <c r="G63" s="231"/>
      <c r="H63" s="244"/>
      <c r="I63" s="262" t="s">
        <v>291</v>
      </c>
      <c r="J63" s="143">
        <f>SUM(E55:E63)</f>
        <v>23449</v>
      </c>
      <c r="K63" s="143">
        <f>SUM(F55:F63)</f>
        <v>15181.12</v>
      </c>
      <c r="L63" s="226">
        <f>K63-J63</f>
        <v>-8267.8799999999992</v>
      </c>
    </row>
    <row r="64" spans="1:12">
      <c r="A64" s="270"/>
      <c r="B64" s="273" t="s">
        <v>243</v>
      </c>
      <c r="C64" s="114">
        <v>2511</v>
      </c>
      <c r="D64" s="232"/>
      <c r="E64" s="232"/>
      <c r="F64" s="247">
        <v>6000</v>
      </c>
      <c r="G64" s="232"/>
      <c r="H64" s="247"/>
      <c r="I64" s="260" t="s">
        <v>224</v>
      </c>
    </row>
    <row r="65" spans="1:12">
      <c r="A65" s="271"/>
      <c r="B65" s="274"/>
      <c r="C65" s="81">
        <v>2511</v>
      </c>
      <c r="D65" s="202"/>
      <c r="E65" s="202"/>
      <c r="F65" s="204">
        <v>2300</v>
      </c>
      <c r="G65" s="202"/>
      <c r="H65" s="204"/>
      <c r="I65" s="261" t="s">
        <v>282</v>
      </c>
    </row>
    <row r="66" spans="1:12">
      <c r="A66" s="271"/>
      <c r="B66" s="274"/>
      <c r="C66" s="81">
        <v>2511</v>
      </c>
      <c r="D66" s="202"/>
      <c r="E66" s="202"/>
      <c r="F66" s="204">
        <v>2250</v>
      </c>
      <c r="G66" s="202"/>
      <c r="H66" s="204"/>
      <c r="I66" s="261" t="s">
        <v>317</v>
      </c>
    </row>
    <row r="67" spans="1:12" ht="26.25" thickBot="1">
      <c r="A67" s="272"/>
      <c r="B67" s="275"/>
      <c r="C67" s="230">
        <v>2511</v>
      </c>
      <c r="D67" s="231"/>
      <c r="E67" s="231"/>
      <c r="F67" s="244">
        <v>600</v>
      </c>
      <c r="G67" s="231"/>
      <c r="H67" s="244"/>
      <c r="I67" s="262" t="s">
        <v>307</v>
      </c>
      <c r="K67" s="142">
        <f>SUM(F64:F67)</f>
        <v>11150</v>
      </c>
    </row>
    <row r="68" spans="1:12" ht="13.5" thickBot="1">
      <c r="A68" s="238"/>
      <c r="B68" s="249" t="s">
        <v>226</v>
      </c>
      <c r="C68" s="239">
        <v>2111</v>
      </c>
      <c r="D68" s="240"/>
      <c r="E68" s="240"/>
      <c r="F68" s="246">
        <v>825</v>
      </c>
      <c r="G68" s="240"/>
      <c r="H68" s="246"/>
      <c r="I68" s="242" t="s">
        <v>227</v>
      </c>
      <c r="K68" s="140">
        <v>825</v>
      </c>
    </row>
    <row r="69" spans="1:12" ht="25.5">
      <c r="A69" s="264"/>
      <c r="B69" s="264" t="s">
        <v>60</v>
      </c>
      <c r="C69" s="114">
        <v>2214</v>
      </c>
      <c r="D69" s="232"/>
      <c r="E69" s="232">
        <v>19</v>
      </c>
      <c r="F69" s="247"/>
      <c r="G69" s="232"/>
      <c r="H69" s="247"/>
      <c r="I69" s="260" t="s">
        <v>286</v>
      </c>
    </row>
    <row r="70" spans="1:12">
      <c r="A70" s="265"/>
      <c r="B70" s="265"/>
      <c r="C70" s="81">
        <v>2214</v>
      </c>
      <c r="D70" s="202"/>
      <c r="E70" s="202"/>
      <c r="F70" s="204">
        <v>70</v>
      </c>
      <c r="G70" s="202"/>
      <c r="H70" s="204"/>
      <c r="I70" s="261" t="s">
        <v>285</v>
      </c>
    </row>
    <row r="71" spans="1:12">
      <c r="A71" s="265"/>
      <c r="B71" s="265"/>
      <c r="C71" s="81">
        <v>2215</v>
      </c>
      <c r="D71" s="202"/>
      <c r="E71" s="202">
        <v>1500</v>
      </c>
      <c r="F71" s="204"/>
      <c r="G71" s="202"/>
      <c r="H71" s="204"/>
      <c r="I71" s="282" t="s">
        <v>318</v>
      </c>
    </row>
    <row r="72" spans="1:12">
      <c r="A72" s="265"/>
      <c r="B72" s="265"/>
      <c r="C72" s="81">
        <v>3111</v>
      </c>
      <c r="D72" s="202"/>
      <c r="E72" s="202"/>
      <c r="F72" s="204">
        <v>1500</v>
      </c>
      <c r="G72" s="202"/>
      <c r="H72" s="204"/>
      <c r="I72" s="283"/>
    </row>
    <row r="73" spans="1:12" ht="13.5" thickBot="1">
      <c r="A73" s="266"/>
      <c r="B73" s="266"/>
      <c r="C73" s="230">
        <v>3111</v>
      </c>
      <c r="D73" s="231"/>
      <c r="E73" s="231">
        <f>31731.7+1500</f>
        <v>33231.699999999997</v>
      </c>
      <c r="F73" s="244"/>
      <c r="G73" s="231"/>
      <c r="H73" s="244"/>
      <c r="I73" s="262" t="s">
        <v>284</v>
      </c>
      <c r="J73" s="143">
        <f>SUM(E69:E73)</f>
        <v>34750.699999999997</v>
      </c>
      <c r="K73" s="143">
        <f>SUM(F69:F73)</f>
        <v>1570</v>
      </c>
      <c r="L73" s="226">
        <f>K73-J73</f>
        <v>-33180.699999999997</v>
      </c>
    </row>
    <row r="74" spans="1:12" ht="25.5">
      <c r="A74" s="264"/>
      <c r="B74" s="264" t="s">
        <v>64</v>
      </c>
      <c r="C74" s="114">
        <v>2111</v>
      </c>
      <c r="D74" s="251"/>
      <c r="E74" s="232">
        <v>87.3</v>
      </c>
      <c r="F74" s="247"/>
      <c r="G74" s="232"/>
      <c r="H74" s="247"/>
      <c r="I74" s="252" t="s">
        <v>275</v>
      </c>
    </row>
    <row r="75" spans="1:12">
      <c r="A75" s="265"/>
      <c r="B75" s="265"/>
      <c r="C75" s="81">
        <v>2121</v>
      </c>
      <c r="D75" s="136"/>
      <c r="E75" s="202"/>
      <c r="F75" s="204">
        <v>26.2</v>
      </c>
      <c r="G75" s="202"/>
      <c r="H75" s="204"/>
      <c r="I75" s="82" t="s">
        <v>276</v>
      </c>
    </row>
    <row r="76" spans="1:12">
      <c r="A76" s="265"/>
      <c r="B76" s="265"/>
      <c r="C76" s="81">
        <v>2214</v>
      </c>
      <c r="D76" s="136"/>
      <c r="E76" s="202">
        <v>83.6</v>
      </c>
      <c r="F76" s="204"/>
      <c r="G76" s="202"/>
      <c r="H76" s="204"/>
      <c r="I76" s="82" t="s">
        <v>277</v>
      </c>
    </row>
    <row r="77" spans="1:12">
      <c r="A77" s="265"/>
      <c r="B77" s="265"/>
      <c r="C77" s="81">
        <v>2214</v>
      </c>
      <c r="D77" s="136"/>
      <c r="E77" s="202"/>
      <c r="F77" s="204">
        <v>6.2</v>
      </c>
      <c r="G77" s="202"/>
      <c r="H77" s="204"/>
      <c r="I77" s="82" t="s">
        <v>308</v>
      </c>
    </row>
    <row r="78" spans="1:12" ht="25.5">
      <c r="A78" s="265"/>
      <c r="B78" s="265"/>
      <c r="C78" s="81">
        <v>2215</v>
      </c>
      <c r="D78" s="136"/>
      <c r="E78" s="202">
        <v>150</v>
      </c>
      <c r="F78" s="204"/>
      <c r="G78" s="202"/>
      <c r="H78" s="204"/>
      <c r="I78" s="82" t="s">
        <v>278</v>
      </c>
    </row>
    <row r="79" spans="1:12">
      <c r="A79" s="265"/>
      <c r="B79" s="265"/>
      <c r="C79" s="81">
        <v>2215</v>
      </c>
      <c r="D79" s="136"/>
      <c r="E79" s="202"/>
      <c r="F79" s="202">
        <v>4.2</v>
      </c>
      <c r="G79" s="202"/>
      <c r="H79" s="204"/>
      <c r="I79" s="82" t="s">
        <v>279</v>
      </c>
    </row>
    <row r="80" spans="1:12">
      <c r="A80" s="265"/>
      <c r="B80" s="265"/>
      <c r="C80" s="81">
        <v>2222</v>
      </c>
      <c r="D80" s="136"/>
      <c r="E80" s="129">
        <v>9.5</v>
      </c>
      <c r="F80" s="204"/>
      <c r="G80" s="202"/>
      <c r="H80" s="204"/>
      <c r="I80" s="82" t="s">
        <v>280</v>
      </c>
    </row>
    <row r="81" spans="1:12">
      <c r="A81" s="265"/>
      <c r="B81" s="265"/>
      <c r="C81" s="81">
        <v>2222</v>
      </c>
      <c r="D81" s="136"/>
      <c r="E81" s="129">
        <v>30</v>
      </c>
      <c r="F81" s="204"/>
      <c r="G81" s="202"/>
      <c r="H81" s="204"/>
      <c r="I81" s="82" t="s">
        <v>321</v>
      </c>
    </row>
    <row r="82" spans="1:12">
      <c r="A82" s="265"/>
      <c r="B82" s="265"/>
      <c r="C82" s="81">
        <v>2222</v>
      </c>
      <c r="D82" s="136"/>
      <c r="E82" s="129"/>
      <c r="F82" s="204">
        <v>642</v>
      </c>
      <c r="G82" s="202"/>
      <c r="H82" s="204"/>
      <c r="I82" s="82" t="s">
        <v>258</v>
      </c>
    </row>
    <row r="83" spans="1:12" ht="13.9" customHeight="1">
      <c r="A83" s="265"/>
      <c r="B83" s="265"/>
      <c r="C83" s="81">
        <v>2222</v>
      </c>
      <c r="D83" s="136"/>
      <c r="E83" s="129"/>
      <c r="F83" s="204">
        <v>20000</v>
      </c>
      <c r="G83" s="202"/>
      <c r="H83" s="204"/>
      <c r="I83" s="82" t="s">
        <v>259</v>
      </c>
    </row>
    <row r="84" spans="1:12" ht="13.9" customHeight="1">
      <c r="A84" s="265"/>
      <c r="B84" s="265"/>
      <c r="C84" s="81">
        <v>2222</v>
      </c>
      <c r="D84" s="136"/>
      <c r="E84" s="129"/>
      <c r="F84" s="204">
        <v>500</v>
      </c>
      <c r="G84" s="202"/>
      <c r="H84" s="204"/>
      <c r="I84" s="82" t="s">
        <v>309</v>
      </c>
    </row>
    <row r="85" spans="1:12" ht="13.9" customHeight="1">
      <c r="A85" s="265"/>
      <c r="B85" s="265"/>
      <c r="C85" s="81">
        <v>2222</v>
      </c>
      <c r="D85" s="136"/>
      <c r="E85" s="129"/>
      <c r="F85" s="204">
        <v>600</v>
      </c>
      <c r="G85" s="202"/>
      <c r="H85" s="204"/>
      <c r="I85" s="82" t="s">
        <v>310</v>
      </c>
    </row>
    <row r="86" spans="1:12" ht="13.9" customHeight="1">
      <c r="A86" s="265"/>
      <c r="B86" s="265"/>
      <c r="C86" s="81">
        <v>2222</v>
      </c>
      <c r="D86" s="136"/>
      <c r="E86" s="129"/>
      <c r="F86" s="204">
        <v>100</v>
      </c>
      <c r="G86" s="202"/>
      <c r="H86" s="204"/>
      <c r="I86" s="82" t="s">
        <v>311</v>
      </c>
    </row>
    <row r="87" spans="1:12" ht="13.9" customHeight="1">
      <c r="A87" s="265"/>
      <c r="B87" s="265"/>
      <c r="C87" s="81">
        <v>2222</v>
      </c>
      <c r="D87" s="136"/>
      <c r="E87" s="129"/>
      <c r="F87" s="204">
        <v>300</v>
      </c>
      <c r="G87" s="202"/>
      <c r="H87" s="204"/>
      <c r="I87" s="82" t="s">
        <v>312</v>
      </c>
    </row>
    <row r="88" spans="1:12">
      <c r="A88" s="265"/>
      <c r="B88" s="265"/>
      <c r="C88" s="81">
        <v>2232</v>
      </c>
      <c r="D88" s="136"/>
      <c r="E88" s="202">
        <v>1126.5999999999999</v>
      </c>
      <c r="F88" s="204"/>
      <c r="G88" s="202"/>
      <c r="H88" s="204"/>
      <c r="I88" s="277" t="s">
        <v>248</v>
      </c>
    </row>
    <row r="89" spans="1:12" ht="13.5" thickBot="1">
      <c r="A89" s="266"/>
      <c r="B89" s="266"/>
      <c r="C89" s="230">
        <v>3112</v>
      </c>
      <c r="D89" s="253"/>
      <c r="E89" s="231">
        <v>49.6</v>
      </c>
      <c r="F89" s="244"/>
      <c r="G89" s="231"/>
      <c r="H89" s="244"/>
      <c r="I89" s="280"/>
      <c r="J89" s="143">
        <f>SUM(E74:E89)</f>
        <v>1536.6</v>
      </c>
      <c r="K89" s="143">
        <f>SUM(F74:F89)</f>
        <v>22178.6</v>
      </c>
      <c r="L89" s="226">
        <f>K89-J89</f>
        <v>20642</v>
      </c>
    </row>
    <row r="90" spans="1:12">
      <c r="A90" s="264"/>
      <c r="B90" s="264" t="s">
        <v>104</v>
      </c>
      <c r="C90" s="114">
        <v>2111</v>
      </c>
      <c r="D90" s="251"/>
      <c r="E90" s="232">
        <f>637.5+29.6</f>
        <v>667.1</v>
      </c>
      <c r="F90" s="247"/>
      <c r="G90" s="232"/>
      <c r="H90" s="247"/>
      <c r="I90" s="276" t="s">
        <v>237</v>
      </c>
    </row>
    <row r="91" spans="1:12">
      <c r="A91" s="265"/>
      <c r="B91" s="265"/>
      <c r="C91" s="81">
        <v>2121</v>
      </c>
      <c r="D91" s="136"/>
      <c r="E91" s="202">
        <f>95.3+4.4</f>
        <v>99.7</v>
      </c>
      <c r="F91" s="204"/>
      <c r="G91" s="202"/>
      <c r="H91" s="204"/>
      <c r="I91" s="277"/>
    </row>
    <row r="92" spans="1:12">
      <c r="A92" s="265"/>
      <c r="B92" s="265"/>
      <c r="C92" s="81">
        <v>3111</v>
      </c>
      <c r="D92" s="136"/>
      <c r="E92" s="202">
        <v>1500</v>
      </c>
      <c r="F92" s="204">
        <v>1500</v>
      </c>
      <c r="G92" s="202"/>
      <c r="H92" s="204"/>
      <c r="I92" s="261" t="s">
        <v>241</v>
      </c>
    </row>
    <row r="93" spans="1:12" ht="25.5">
      <c r="A93" s="265"/>
      <c r="B93" s="265"/>
      <c r="C93" s="81">
        <v>221549</v>
      </c>
      <c r="D93" s="136"/>
      <c r="E93" s="202">
        <v>5</v>
      </c>
      <c r="F93" s="204"/>
      <c r="G93" s="202"/>
      <c r="H93" s="204"/>
      <c r="I93" s="261" t="s">
        <v>267</v>
      </c>
    </row>
    <row r="94" spans="1:12" ht="25.5">
      <c r="A94" s="265"/>
      <c r="B94" s="265"/>
      <c r="C94" s="81">
        <v>221549</v>
      </c>
      <c r="D94" s="136"/>
      <c r="E94" s="202"/>
      <c r="F94" s="204">
        <v>5</v>
      </c>
      <c r="G94" s="202"/>
      <c r="H94" s="204"/>
      <c r="I94" s="261" t="s">
        <v>268</v>
      </c>
    </row>
    <row r="95" spans="1:12">
      <c r="A95" s="265"/>
      <c r="B95" s="265"/>
      <c r="C95" s="81">
        <v>221543</v>
      </c>
      <c r="D95" s="136"/>
      <c r="E95" s="202"/>
      <c r="F95" s="204">
        <v>12</v>
      </c>
      <c r="G95" s="202"/>
      <c r="H95" s="204"/>
      <c r="I95" s="261" t="s">
        <v>269</v>
      </c>
    </row>
    <row r="96" spans="1:12" ht="26.25" thickBot="1">
      <c r="A96" s="266"/>
      <c r="B96" s="266"/>
      <c r="C96" s="230">
        <v>221549</v>
      </c>
      <c r="D96" s="253"/>
      <c r="E96" s="231">
        <v>12</v>
      </c>
      <c r="F96" s="244"/>
      <c r="G96" s="231"/>
      <c r="H96" s="244"/>
      <c r="I96" s="262" t="s">
        <v>270</v>
      </c>
      <c r="J96" s="143">
        <f>SUM(E90:E96)</f>
        <v>2283.8000000000002</v>
      </c>
      <c r="K96" s="143">
        <f>SUM(F90:F96)</f>
        <v>1517</v>
      </c>
      <c r="L96" s="226">
        <f>K96-J96</f>
        <v>-766.80000000000018</v>
      </c>
    </row>
    <row r="97" spans="1:12">
      <c r="A97" s="264"/>
      <c r="B97" s="264" t="s">
        <v>49</v>
      </c>
      <c r="C97" s="114">
        <v>2214</v>
      </c>
      <c r="D97" s="232"/>
      <c r="E97" s="232"/>
      <c r="F97" s="247">
        <v>20</v>
      </c>
      <c r="G97" s="232"/>
      <c r="H97" s="247"/>
      <c r="I97" s="260" t="s">
        <v>230</v>
      </c>
    </row>
    <row r="98" spans="1:12">
      <c r="A98" s="265"/>
      <c r="B98" s="265"/>
      <c r="C98" s="81">
        <v>2111</v>
      </c>
      <c r="D98" s="202"/>
      <c r="E98" s="202"/>
      <c r="F98" s="204">
        <v>242.5</v>
      </c>
      <c r="G98" s="202"/>
      <c r="H98" s="204"/>
      <c r="I98" s="277" t="s">
        <v>272</v>
      </c>
    </row>
    <row r="99" spans="1:12">
      <c r="A99" s="265"/>
      <c r="B99" s="265"/>
      <c r="C99" s="81">
        <v>2121</v>
      </c>
      <c r="D99" s="202"/>
      <c r="E99" s="202"/>
      <c r="F99" s="204">
        <v>36.200000000000003</v>
      </c>
      <c r="G99" s="202"/>
      <c r="H99" s="204"/>
      <c r="I99" s="277"/>
    </row>
    <row r="100" spans="1:12" ht="13.5" thickBot="1">
      <c r="A100" s="266"/>
      <c r="B100" s="266"/>
      <c r="C100" s="230">
        <v>3112</v>
      </c>
      <c r="D100" s="231"/>
      <c r="E100" s="231"/>
      <c r="F100" s="244">
        <v>100</v>
      </c>
      <c r="G100" s="231"/>
      <c r="H100" s="244"/>
      <c r="I100" s="262" t="s">
        <v>231</v>
      </c>
      <c r="K100" s="142">
        <f>SUM(F97:F100)</f>
        <v>398.7</v>
      </c>
    </row>
    <row r="101" spans="1:12">
      <c r="A101" s="264"/>
      <c r="B101" s="267" t="s">
        <v>232</v>
      </c>
      <c r="C101" s="114">
        <v>2111</v>
      </c>
      <c r="D101" s="232"/>
      <c r="E101" s="232"/>
      <c r="F101" s="247">
        <v>287.8</v>
      </c>
      <c r="G101" s="232"/>
      <c r="H101" s="247"/>
      <c r="I101" s="276" t="s">
        <v>228</v>
      </c>
    </row>
    <row r="102" spans="1:12">
      <c r="A102" s="265"/>
      <c r="B102" s="268"/>
      <c r="C102" s="81">
        <v>2121</v>
      </c>
      <c r="D102" s="202"/>
      <c r="E102" s="202"/>
      <c r="F102" s="204">
        <v>43.1</v>
      </c>
      <c r="G102" s="202"/>
      <c r="H102" s="204"/>
      <c r="I102" s="277"/>
    </row>
    <row r="103" spans="1:12">
      <c r="A103" s="265"/>
      <c r="B103" s="268"/>
      <c r="C103" s="81">
        <v>2214</v>
      </c>
      <c r="D103" s="202"/>
      <c r="E103" s="202"/>
      <c r="F103" s="204">
        <v>30</v>
      </c>
      <c r="G103" s="202"/>
      <c r="H103" s="204"/>
      <c r="I103" s="261" t="s">
        <v>233</v>
      </c>
    </row>
    <row r="104" spans="1:12" ht="13.5" thickBot="1">
      <c r="A104" s="266"/>
      <c r="B104" s="269"/>
      <c r="C104" s="230">
        <v>3112</v>
      </c>
      <c r="D104" s="231"/>
      <c r="E104" s="231"/>
      <c r="F104" s="244">
        <v>50</v>
      </c>
      <c r="G104" s="231"/>
      <c r="H104" s="244"/>
      <c r="I104" s="255" t="s">
        <v>234</v>
      </c>
      <c r="K104" s="142">
        <f>SUM(F101:F104)</f>
        <v>410.90000000000003</v>
      </c>
    </row>
    <row r="105" spans="1:12" ht="26.25" thickBot="1">
      <c r="A105" s="256"/>
      <c r="B105" s="249" t="s">
        <v>235</v>
      </c>
      <c r="C105" s="238">
        <v>2511</v>
      </c>
      <c r="D105" s="241"/>
      <c r="E105" s="241"/>
      <c r="F105" s="257">
        <v>137</v>
      </c>
      <c r="G105" s="240"/>
      <c r="H105" s="246"/>
      <c r="I105" s="258" t="s">
        <v>236</v>
      </c>
      <c r="K105" s="142">
        <f>F105</f>
        <v>137</v>
      </c>
    </row>
    <row r="106" spans="1:12" ht="13.5" thickBot="1">
      <c r="A106" s="256"/>
      <c r="B106" s="249" t="s">
        <v>73</v>
      </c>
      <c r="C106" s="239">
        <v>2511</v>
      </c>
      <c r="D106" s="240"/>
      <c r="E106" s="240">
        <v>1145.4000000000001</v>
      </c>
      <c r="F106" s="246"/>
      <c r="G106" s="240"/>
      <c r="H106" s="246"/>
      <c r="I106" s="258" t="s">
        <v>248</v>
      </c>
      <c r="J106" s="143">
        <f>E106</f>
        <v>1145.4000000000001</v>
      </c>
    </row>
    <row r="107" spans="1:12">
      <c r="A107" s="264"/>
      <c r="B107" s="267" t="s">
        <v>74</v>
      </c>
      <c r="C107" s="114">
        <v>2721</v>
      </c>
      <c r="D107" s="232"/>
      <c r="E107" s="232">
        <v>8160</v>
      </c>
      <c r="F107" s="247"/>
      <c r="G107" s="232"/>
      <c r="H107" s="247"/>
      <c r="I107" s="252" t="s">
        <v>263</v>
      </c>
    </row>
    <row r="108" spans="1:12">
      <c r="A108" s="265"/>
      <c r="B108" s="268"/>
      <c r="C108" s="81">
        <v>2221</v>
      </c>
      <c r="D108" s="202"/>
      <c r="E108" s="202">
        <v>105</v>
      </c>
      <c r="F108" s="204"/>
      <c r="G108" s="202"/>
      <c r="H108" s="204"/>
      <c r="I108" s="82" t="s">
        <v>300</v>
      </c>
    </row>
    <row r="109" spans="1:12">
      <c r="A109" s="265"/>
      <c r="B109" s="268"/>
      <c r="C109" s="81">
        <v>3112</v>
      </c>
      <c r="D109" s="202"/>
      <c r="E109" s="202"/>
      <c r="F109" s="204">
        <v>1050</v>
      </c>
      <c r="G109" s="202"/>
      <c r="H109" s="204"/>
      <c r="I109" s="82" t="s">
        <v>314</v>
      </c>
    </row>
    <row r="110" spans="1:12">
      <c r="A110" s="265"/>
      <c r="B110" s="268"/>
      <c r="C110" s="81">
        <v>3112</v>
      </c>
      <c r="D110" s="202"/>
      <c r="E110" s="202"/>
      <c r="F110" s="204">
        <v>300</v>
      </c>
      <c r="G110" s="202"/>
      <c r="H110" s="204"/>
      <c r="I110" s="82" t="s">
        <v>313</v>
      </c>
    </row>
    <row r="111" spans="1:12" ht="13.5" thickBot="1">
      <c r="A111" s="266"/>
      <c r="B111" s="269"/>
      <c r="C111" s="230">
        <v>3112</v>
      </c>
      <c r="D111" s="231"/>
      <c r="E111" s="231"/>
      <c r="F111" s="244">
        <v>105</v>
      </c>
      <c r="G111" s="231"/>
      <c r="H111" s="244"/>
      <c r="I111" s="255" t="s">
        <v>266</v>
      </c>
      <c r="J111" s="143">
        <f>SUM(E107:E111)</f>
        <v>8265</v>
      </c>
      <c r="K111" s="143">
        <f>SUM(F107:F111)</f>
        <v>1455</v>
      </c>
      <c r="L111" s="226">
        <f>K111-J111</f>
        <v>-6810</v>
      </c>
    </row>
    <row r="112" spans="1:12">
      <c r="A112" s="264"/>
      <c r="B112" s="267" t="s">
        <v>239</v>
      </c>
      <c r="C112" s="114">
        <v>2721</v>
      </c>
      <c r="D112" s="232"/>
      <c r="E112" s="232">
        <v>1740</v>
      </c>
      <c r="F112" s="247"/>
      <c r="G112" s="232"/>
      <c r="H112" s="247"/>
      <c r="I112" s="252" t="s">
        <v>263</v>
      </c>
    </row>
    <row r="113" spans="1:12">
      <c r="A113" s="265"/>
      <c r="B113" s="268"/>
      <c r="C113" s="81">
        <v>2214</v>
      </c>
      <c r="D113" s="202"/>
      <c r="E113" s="202">
        <v>30</v>
      </c>
      <c r="F113" s="204"/>
      <c r="G113" s="202"/>
      <c r="H113" s="204"/>
      <c r="I113" s="82" t="s">
        <v>264</v>
      </c>
    </row>
    <row r="114" spans="1:12">
      <c r="A114" s="265"/>
      <c r="B114" s="268"/>
      <c r="C114" s="81">
        <v>3112</v>
      </c>
      <c r="D114" s="202"/>
      <c r="E114" s="202"/>
      <c r="F114" s="204">
        <v>200</v>
      </c>
      <c r="G114" s="202"/>
      <c r="H114" s="204"/>
      <c r="I114" s="82" t="s">
        <v>315</v>
      </c>
    </row>
    <row r="115" spans="1:12" ht="13.5" thickBot="1">
      <c r="A115" s="266"/>
      <c r="B115" s="269"/>
      <c r="C115" s="230">
        <v>3112</v>
      </c>
      <c r="D115" s="231"/>
      <c r="E115" s="231"/>
      <c r="F115" s="244">
        <v>30</v>
      </c>
      <c r="G115" s="231"/>
      <c r="H115" s="244"/>
      <c r="I115" s="255" t="s">
        <v>265</v>
      </c>
      <c r="J115" s="143">
        <f>SUM(E112:E115)</f>
        <v>1770</v>
      </c>
      <c r="K115" s="143">
        <f>SUM(F112:F115)</f>
        <v>230</v>
      </c>
      <c r="L115" s="226">
        <f>K115-J115</f>
        <v>-1540</v>
      </c>
    </row>
    <row r="116" spans="1:12" ht="13.5" thickBot="1">
      <c r="A116" s="256"/>
      <c r="B116" s="249" t="s">
        <v>240</v>
      </c>
      <c r="C116" s="239">
        <v>2721</v>
      </c>
      <c r="D116" s="240"/>
      <c r="E116" s="240">
        <v>390</v>
      </c>
      <c r="F116" s="246"/>
      <c r="G116" s="240"/>
      <c r="H116" s="246"/>
      <c r="I116" s="258" t="s">
        <v>320</v>
      </c>
      <c r="J116" s="143">
        <v>390</v>
      </c>
    </row>
    <row r="117" spans="1:12">
      <c r="A117" s="254"/>
      <c r="B117" s="225"/>
      <c r="C117" s="228"/>
      <c r="D117" s="229"/>
      <c r="E117" s="229"/>
      <c r="F117" s="243"/>
      <c r="G117" s="229"/>
      <c r="H117" s="243"/>
      <c r="I117" s="250"/>
      <c r="J117" s="143"/>
      <c r="K117" s="143"/>
      <c r="L117" s="226"/>
    </row>
    <row r="118" spans="1:12">
      <c r="A118" s="83"/>
      <c r="B118" s="224" t="s">
        <v>319</v>
      </c>
      <c r="C118" s="81"/>
      <c r="D118" s="202"/>
      <c r="E118" s="202"/>
      <c r="F118" s="202">
        <v>-7479.4</v>
      </c>
      <c r="G118" s="202"/>
      <c r="H118" s="204"/>
      <c r="I118" s="82"/>
      <c r="K118" s="140">
        <v>-7479.4</v>
      </c>
    </row>
    <row r="119" spans="1:12">
      <c r="A119" s="208"/>
      <c r="B119" s="83"/>
      <c r="C119" s="81"/>
      <c r="D119" s="201">
        <f>SUM(D6:D116)</f>
        <v>0</v>
      </c>
      <c r="E119" s="201">
        <f>SUM(E6:E118)</f>
        <v>80714.500000000015</v>
      </c>
      <c r="F119" s="201">
        <f>SUM(F6:F118)</f>
        <v>80714.464999999997</v>
      </c>
      <c r="G119" s="201">
        <f>SUM(G6:G27)</f>
        <v>0</v>
      </c>
      <c r="H119" s="201">
        <f>SUM(H6:H27)</f>
        <v>0</v>
      </c>
      <c r="I119" s="82"/>
      <c r="J119" s="143">
        <f>SUM(J12:J118)</f>
        <v>80714.5</v>
      </c>
      <c r="K119" s="143">
        <f>SUM(K12:K118)</f>
        <v>80714.464999999997</v>
      </c>
      <c r="L119" s="259">
        <f>K119-J119</f>
        <v>-3.500000000349246E-2</v>
      </c>
    </row>
    <row r="120" spans="1:12">
      <c r="A120" s="146"/>
      <c r="B120" s="131"/>
      <c r="C120" s="116"/>
      <c r="D120" s="205"/>
      <c r="E120" s="205"/>
      <c r="F120" s="205">
        <f>F119-E119</f>
        <v>-3.5000000018044375E-2</v>
      </c>
      <c r="G120" s="205"/>
      <c r="H120" s="205">
        <f>G119-H119</f>
        <v>0</v>
      </c>
      <c r="I120" s="124"/>
    </row>
    <row r="121" spans="1:12">
      <c r="A121" s="146"/>
      <c r="B121" s="131"/>
      <c r="C121" s="116"/>
      <c r="D121" s="205"/>
      <c r="E121" s="205"/>
      <c r="F121" s="205"/>
      <c r="G121" s="205"/>
      <c r="H121" s="205"/>
      <c r="I121" s="124"/>
    </row>
    <row r="122" spans="1:12">
      <c r="A122" s="146"/>
      <c r="B122" s="216" t="s">
        <v>248</v>
      </c>
      <c r="C122" s="217">
        <f>E119</f>
        <v>80714.500000000015</v>
      </c>
      <c r="D122" s="205"/>
      <c r="E122" s="205"/>
      <c r="F122" s="205"/>
      <c r="G122" s="205"/>
      <c r="H122" s="205"/>
      <c r="I122" s="124"/>
    </row>
    <row r="123" spans="1:12">
      <c r="A123" s="146"/>
      <c r="B123" s="216" t="s">
        <v>249</v>
      </c>
      <c r="C123" s="217">
        <f>F119</f>
        <v>80714.464999999997</v>
      </c>
      <c r="D123" s="205"/>
      <c r="E123" s="205"/>
      <c r="F123" s="205"/>
      <c r="G123" s="205"/>
      <c r="H123" s="205"/>
      <c r="I123" s="124"/>
    </row>
    <row r="124" spans="1:12">
      <c r="A124" s="146"/>
      <c r="B124" s="131"/>
      <c r="C124" s="116"/>
      <c r="D124" s="132"/>
      <c r="E124" s="132"/>
      <c r="F124" s="132"/>
      <c r="G124" s="132"/>
      <c r="H124" s="132"/>
      <c r="I124" s="124"/>
    </row>
    <row r="125" spans="1:12">
      <c r="F125" s="143"/>
      <c r="H125" s="143"/>
    </row>
    <row r="126" spans="1:12">
      <c r="B126" s="135"/>
    </row>
    <row r="128" spans="1:12">
      <c r="A128" s="116"/>
      <c r="B128" s="146"/>
      <c r="C128" s="146"/>
      <c r="D128" s="134"/>
      <c r="E128" s="134"/>
      <c r="F128" s="130"/>
      <c r="G128" s="134"/>
      <c r="H128" s="130"/>
      <c r="I128" s="131"/>
    </row>
    <row r="129" spans="1:9">
      <c r="A129" s="147"/>
      <c r="B129" s="147"/>
      <c r="C129" s="147"/>
      <c r="D129" s="147"/>
      <c r="E129" s="148"/>
      <c r="F129" s="148"/>
      <c r="G129" s="148"/>
      <c r="H129" s="147"/>
      <c r="I129" s="147"/>
    </row>
    <row r="130" spans="1:9">
      <c r="A130" s="141"/>
      <c r="B130" s="141"/>
      <c r="C130" s="141"/>
      <c r="D130" s="141"/>
      <c r="E130" s="141"/>
      <c r="F130" s="141"/>
      <c r="G130" s="141"/>
      <c r="H130" s="141"/>
      <c r="I130" s="141"/>
    </row>
    <row r="131" spans="1:9">
      <c r="A131" s="141"/>
      <c r="B131" s="141"/>
      <c r="C131" s="141"/>
      <c r="D131" s="141"/>
      <c r="E131" s="141"/>
      <c r="F131" s="141"/>
      <c r="G131" s="141"/>
      <c r="H131" s="141"/>
      <c r="I131" s="141"/>
    </row>
    <row r="132" spans="1:9">
      <c r="A132" s="141"/>
      <c r="B132" s="141"/>
      <c r="C132" s="141"/>
      <c r="D132" s="141"/>
      <c r="E132" s="141"/>
      <c r="F132" s="141"/>
      <c r="G132" s="141"/>
      <c r="H132" s="141"/>
      <c r="I132" s="141"/>
    </row>
    <row r="133" spans="1:9">
      <c r="A133" s="141"/>
      <c r="B133" s="141"/>
      <c r="C133" s="141"/>
      <c r="D133" s="141"/>
      <c r="E133" s="141"/>
      <c r="F133" s="141"/>
      <c r="G133" s="141"/>
      <c r="H133" s="141"/>
      <c r="I133" s="141"/>
    </row>
    <row r="134" spans="1:9">
      <c r="A134" s="141"/>
      <c r="B134" s="141"/>
      <c r="C134" s="141"/>
      <c r="D134" s="141"/>
      <c r="E134" s="141"/>
      <c r="F134" s="141"/>
      <c r="G134" s="141"/>
      <c r="H134" s="141"/>
      <c r="I134" s="141"/>
    </row>
    <row r="135" spans="1:9">
      <c r="A135" s="141"/>
      <c r="B135" s="141"/>
      <c r="C135" s="141"/>
      <c r="D135" s="141"/>
      <c r="E135" s="141"/>
      <c r="F135" s="141"/>
      <c r="G135" s="141"/>
      <c r="H135" s="141"/>
      <c r="I135" s="141"/>
    </row>
    <row r="136" spans="1:9">
      <c r="A136" s="141"/>
      <c r="B136" s="141"/>
      <c r="C136" s="141"/>
      <c r="D136" s="141"/>
      <c r="E136" s="141"/>
      <c r="F136" s="141"/>
      <c r="G136" s="141"/>
      <c r="H136" s="141"/>
      <c r="I136" s="141"/>
    </row>
    <row r="137" spans="1:9">
      <c r="A137" s="141"/>
      <c r="B137" s="141"/>
      <c r="C137" s="141"/>
      <c r="D137" s="141"/>
      <c r="E137" s="141"/>
      <c r="F137" s="141"/>
      <c r="G137" s="141"/>
      <c r="H137" s="141"/>
      <c r="I137" s="141"/>
    </row>
    <row r="138" spans="1:9">
      <c r="A138" s="141"/>
      <c r="B138" s="141"/>
      <c r="C138" s="141"/>
      <c r="D138" s="141"/>
      <c r="E138" s="141"/>
      <c r="F138" s="141"/>
      <c r="G138" s="141"/>
      <c r="H138" s="141"/>
      <c r="I138" s="141"/>
    </row>
    <row r="139" spans="1:9">
      <c r="A139" s="141"/>
      <c r="B139" s="141"/>
      <c r="C139" s="141"/>
      <c r="D139" s="141"/>
      <c r="E139" s="141"/>
      <c r="F139" s="141"/>
      <c r="G139" s="141"/>
      <c r="H139" s="141"/>
      <c r="I139" s="141"/>
    </row>
    <row r="140" spans="1:9">
      <c r="A140" s="141"/>
      <c r="B140" s="141"/>
      <c r="C140" s="141"/>
      <c r="D140" s="141"/>
      <c r="E140" s="141"/>
      <c r="F140" s="141"/>
      <c r="G140" s="141"/>
      <c r="H140" s="141"/>
      <c r="I140" s="141"/>
    </row>
    <row r="141" spans="1:9">
      <c r="A141" s="141"/>
      <c r="B141" s="141"/>
      <c r="C141" s="141"/>
      <c r="D141" s="141"/>
      <c r="E141" s="141"/>
      <c r="F141" s="141"/>
      <c r="G141" s="141"/>
      <c r="H141" s="141"/>
      <c r="I141" s="141"/>
    </row>
    <row r="142" spans="1:9">
      <c r="A142" s="141"/>
      <c r="B142" s="141"/>
      <c r="C142" s="141"/>
      <c r="D142" s="141"/>
      <c r="E142" s="141"/>
      <c r="F142" s="141"/>
      <c r="G142" s="141"/>
      <c r="H142" s="141"/>
      <c r="I142" s="141"/>
    </row>
    <row r="143" spans="1:9">
      <c r="A143" s="141"/>
      <c r="B143" s="141"/>
      <c r="C143" s="141"/>
      <c r="D143" s="141"/>
      <c r="E143" s="141"/>
      <c r="F143" s="141"/>
      <c r="G143" s="141"/>
      <c r="H143" s="141"/>
      <c r="I143" s="141"/>
    </row>
    <row r="144" spans="1:9">
      <c r="A144" s="141"/>
      <c r="B144" s="141"/>
      <c r="C144" s="141"/>
      <c r="D144" s="141"/>
      <c r="E144" s="141"/>
      <c r="F144" s="141"/>
      <c r="G144" s="141"/>
      <c r="H144" s="141"/>
      <c r="I144" s="141"/>
    </row>
    <row r="145" spans="1:9">
      <c r="A145" s="141"/>
      <c r="B145" s="141"/>
      <c r="C145" s="141"/>
      <c r="D145" s="141"/>
      <c r="E145" s="141"/>
      <c r="F145" s="141"/>
      <c r="G145" s="141"/>
      <c r="H145" s="141"/>
      <c r="I145" s="141"/>
    </row>
    <row r="146" spans="1:9">
      <c r="A146" s="141"/>
      <c r="B146" s="141"/>
      <c r="C146" s="141"/>
      <c r="D146" s="141"/>
      <c r="E146" s="141"/>
      <c r="F146" s="141"/>
      <c r="G146" s="141"/>
      <c r="H146" s="141"/>
      <c r="I146" s="141"/>
    </row>
    <row r="147" spans="1:9">
      <c r="A147" s="141"/>
      <c r="B147" s="141"/>
      <c r="C147" s="141"/>
      <c r="D147" s="141"/>
      <c r="E147" s="141"/>
      <c r="F147" s="141"/>
      <c r="G147" s="141"/>
      <c r="H147" s="141"/>
      <c r="I147" s="141"/>
    </row>
    <row r="148" spans="1:9">
      <c r="A148" s="141"/>
      <c r="B148" s="141"/>
      <c r="C148" s="141"/>
      <c r="D148" s="141"/>
      <c r="E148" s="141"/>
      <c r="F148" s="141"/>
      <c r="G148" s="141"/>
      <c r="H148" s="141"/>
      <c r="I148" s="141"/>
    </row>
    <row r="149" spans="1:9">
      <c r="A149" s="141"/>
      <c r="B149" s="141"/>
      <c r="C149" s="141"/>
      <c r="D149" s="141"/>
      <c r="E149" s="141"/>
      <c r="F149" s="141"/>
      <c r="G149" s="141"/>
      <c r="H149" s="141"/>
      <c r="I149" s="141"/>
    </row>
    <row r="150" spans="1:9">
      <c r="A150" s="141"/>
      <c r="B150" s="141"/>
      <c r="C150" s="141"/>
      <c r="D150" s="141"/>
      <c r="E150" s="141"/>
      <c r="F150" s="141"/>
      <c r="G150" s="141"/>
      <c r="H150" s="141"/>
      <c r="I150" s="141"/>
    </row>
    <row r="151" spans="1:9">
      <c r="A151" s="141"/>
      <c r="B151" s="141"/>
      <c r="C151" s="141"/>
      <c r="D151" s="141"/>
      <c r="E151" s="141"/>
      <c r="F151" s="141"/>
      <c r="G151" s="141"/>
      <c r="H151" s="141"/>
      <c r="I151" s="141"/>
    </row>
    <row r="152" spans="1:9">
      <c r="A152" s="141"/>
      <c r="B152" s="141"/>
      <c r="C152" s="141"/>
      <c r="D152" s="141"/>
      <c r="E152" s="141"/>
      <c r="F152" s="141"/>
      <c r="G152" s="141"/>
      <c r="H152" s="141"/>
      <c r="I152" s="141"/>
    </row>
    <row r="153" spans="1:9">
      <c r="A153" s="141"/>
      <c r="B153" s="141"/>
      <c r="C153" s="141"/>
      <c r="D153" s="141"/>
      <c r="E153" s="141"/>
      <c r="F153" s="141"/>
      <c r="G153" s="141"/>
      <c r="H153" s="141"/>
      <c r="I153" s="141"/>
    </row>
    <row r="154" spans="1:9">
      <c r="A154" s="141"/>
      <c r="B154" s="141"/>
      <c r="C154" s="141"/>
      <c r="D154" s="141"/>
      <c r="E154" s="141"/>
      <c r="F154" s="141"/>
      <c r="G154" s="141"/>
      <c r="H154" s="141"/>
      <c r="I154" s="141"/>
    </row>
    <row r="155" spans="1:9">
      <c r="A155" s="141"/>
      <c r="B155" s="141"/>
      <c r="C155" s="141"/>
      <c r="D155" s="141"/>
      <c r="E155" s="141"/>
      <c r="F155" s="141"/>
      <c r="G155" s="141"/>
      <c r="H155" s="141"/>
      <c r="I155" s="141"/>
    </row>
    <row r="156" spans="1:9">
      <c r="A156" s="141"/>
      <c r="B156" s="141"/>
      <c r="C156" s="141"/>
      <c r="D156" s="141"/>
      <c r="E156" s="141"/>
      <c r="F156" s="141"/>
      <c r="G156" s="141"/>
      <c r="H156" s="141"/>
      <c r="I156" s="141"/>
    </row>
    <row r="157" spans="1:9">
      <c r="A157" s="141"/>
      <c r="B157" s="141"/>
      <c r="C157" s="141"/>
      <c r="D157" s="141"/>
      <c r="E157" s="141"/>
      <c r="F157" s="141"/>
      <c r="G157" s="141"/>
      <c r="H157" s="141"/>
      <c r="I157" s="141"/>
    </row>
    <row r="158" spans="1:9">
      <c r="A158" s="141"/>
      <c r="B158" s="141"/>
      <c r="C158" s="141"/>
      <c r="D158" s="141"/>
      <c r="E158" s="141"/>
      <c r="F158" s="141"/>
      <c r="G158" s="141"/>
      <c r="H158" s="141"/>
      <c r="I158" s="141"/>
    </row>
    <row r="159" spans="1:9">
      <c r="A159" s="141"/>
      <c r="B159" s="141"/>
      <c r="C159" s="141"/>
      <c r="D159" s="141"/>
      <c r="E159" s="141"/>
      <c r="F159" s="141"/>
      <c r="G159" s="141"/>
      <c r="H159" s="141"/>
      <c r="I159" s="141"/>
    </row>
    <row r="160" spans="1:9">
      <c r="A160" s="141"/>
      <c r="B160" s="141"/>
      <c r="C160" s="141"/>
      <c r="D160" s="141"/>
      <c r="E160" s="141"/>
      <c r="F160" s="141"/>
      <c r="G160" s="141"/>
      <c r="H160" s="141"/>
      <c r="I160" s="141"/>
    </row>
    <row r="161" spans="1:9">
      <c r="A161" s="141"/>
      <c r="B161" s="141"/>
      <c r="C161" s="141"/>
      <c r="D161" s="141"/>
      <c r="E161" s="141"/>
      <c r="F161" s="141"/>
      <c r="G161" s="141"/>
      <c r="H161" s="141"/>
      <c r="I161" s="141"/>
    </row>
    <row r="162" spans="1:9">
      <c r="A162" s="141"/>
      <c r="B162" s="141"/>
      <c r="C162" s="141"/>
      <c r="D162" s="141"/>
      <c r="E162" s="141"/>
      <c r="F162" s="141"/>
      <c r="G162" s="141"/>
      <c r="H162" s="141"/>
      <c r="I162" s="141"/>
    </row>
    <row r="163" spans="1:9">
      <c r="A163" s="141"/>
      <c r="B163" s="141"/>
      <c r="C163" s="141"/>
      <c r="D163" s="141"/>
      <c r="E163" s="141"/>
      <c r="F163" s="141"/>
      <c r="G163" s="141"/>
      <c r="H163" s="141"/>
      <c r="I163" s="141"/>
    </row>
    <row r="164" spans="1:9">
      <c r="A164" s="141"/>
      <c r="B164" s="141"/>
      <c r="C164" s="141"/>
      <c r="D164" s="141"/>
      <c r="E164" s="141"/>
      <c r="F164" s="141"/>
      <c r="G164" s="141"/>
      <c r="H164" s="141"/>
      <c r="I164" s="141"/>
    </row>
    <row r="165" spans="1:9">
      <c r="A165" s="141"/>
      <c r="B165" s="141"/>
      <c r="C165" s="141"/>
      <c r="D165" s="141"/>
      <c r="E165" s="141"/>
      <c r="F165" s="141"/>
      <c r="G165" s="141"/>
      <c r="H165" s="141"/>
      <c r="I165" s="141"/>
    </row>
    <row r="166" spans="1:9">
      <c r="A166" s="141"/>
      <c r="B166" s="141"/>
      <c r="C166" s="141"/>
      <c r="D166" s="141"/>
      <c r="E166" s="141"/>
      <c r="F166" s="141"/>
      <c r="G166" s="141"/>
      <c r="H166" s="141"/>
      <c r="I166" s="141"/>
    </row>
    <row r="167" spans="1:9">
      <c r="A167" s="141"/>
      <c r="B167" s="141"/>
      <c r="C167" s="141"/>
      <c r="D167" s="141"/>
      <c r="E167" s="141"/>
      <c r="F167" s="141"/>
      <c r="G167" s="141"/>
      <c r="H167" s="141"/>
      <c r="I167" s="141"/>
    </row>
    <row r="168" spans="1:9">
      <c r="A168" s="141"/>
      <c r="B168" s="141"/>
      <c r="C168" s="141"/>
      <c r="D168" s="141"/>
      <c r="E168" s="141"/>
      <c r="F168" s="141"/>
      <c r="G168" s="141"/>
      <c r="H168" s="141"/>
      <c r="I168" s="141"/>
    </row>
    <row r="169" spans="1:9">
      <c r="A169" s="141"/>
      <c r="B169" s="141"/>
      <c r="C169" s="141"/>
      <c r="D169" s="141"/>
      <c r="E169" s="141"/>
      <c r="F169" s="141"/>
      <c r="G169" s="141"/>
      <c r="H169" s="141"/>
      <c r="I169" s="141"/>
    </row>
    <row r="170" spans="1:9">
      <c r="A170" s="141"/>
      <c r="B170" s="141"/>
      <c r="C170" s="141"/>
      <c r="D170" s="141"/>
      <c r="E170" s="141"/>
      <c r="F170" s="141"/>
      <c r="G170" s="141"/>
      <c r="H170" s="141"/>
      <c r="I170" s="141"/>
    </row>
    <row r="171" spans="1:9">
      <c r="A171" s="141"/>
      <c r="B171" s="141"/>
      <c r="C171" s="141"/>
      <c r="D171" s="141"/>
      <c r="E171" s="141"/>
      <c r="F171" s="141"/>
      <c r="G171" s="141"/>
      <c r="H171" s="141"/>
      <c r="I171" s="141"/>
    </row>
    <row r="172" spans="1:9">
      <c r="A172" s="141"/>
      <c r="B172" s="141"/>
      <c r="C172" s="141"/>
      <c r="D172" s="141"/>
      <c r="E172" s="141"/>
      <c r="F172" s="141"/>
      <c r="G172" s="141"/>
      <c r="H172" s="141"/>
      <c r="I172" s="141"/>
    </row>
    <row r="173" spans="1:9">
      <c r="A173" s="141"/>
      <c r="B173" s="141"/>
      <c r="C173" s="141"/>
      <c r="D173" s="141"/>
      <c r="E173" s="141"/>
      <c r="F173" s="141"/>
      <c r="G173" s="141"/>
      <c r="H173" s="141"/>
      <c r="I173" s="141"/>
    </row>
    <row r="174" spans="1:9">
      <c r="A174" s="141"/>
      <c r="B174" s="141"/>
      <c r="C174" s="141"/>
      <c r="D174" s="141"/>
      <c r="E174" s="141"/>
      <c r="F174" s="141"/>
      <c r="G174" s="141"/>
      <c r="H174" s="141"/>
      <c r="I174" s="141"/>
    </row>
    <row r="175" spans="1:9">
      <c r="A175" s="141"/>
      <c r="B175" s="141"/>
      <c r="C175" s="141"/>
      <c r="D175" s="141"/>
      <c r="E175" s="141"/>
      <c r="F175" s="141"/>
      <c r="G175" s="141"/>
      <c r="H175" s="141"/>
      <c r="I175" s="141"/>
    </row>
    <row r="176" spans="1:9">
      <c r="A176" s="141"/>
      <c r="B176" s="141"/>
      <c r="C176" s="141"/>
      <c r="D176" s="141"/>
      <c r="E176" s="141"/>
      <c r="F176" s="141"/>
      <c r="G176" s="141"/>
      <c r="H176" s="141"/>
      <c r="I176" s="141"/>
    </row>
    <row r="177" spans="1:9">
      <c r="A177" s="141"/>
      <c r="B177" s="141"/>
      <c r="C177" s="141"/>
      <c r="D177" s="141"/>
      <c r="E177" s="141"/>
      <c r="F177" s="141"/>
      <c r="G177" s="141"/>
      <c r="H177" s="141"/>
      <c r="I177" s="141"/>
    </row>
    <row r="178" spans="1:9">
      <c r="A178" s="141"/>
      <c r="B178" s="141"/>
      <c r="C178" s="141"/>
      <c r="D178" s="141"/>
      <c r="E178" s="141"/>
      <c r="F178" s="141"/>
      <c r="G178" s="141"/>
      <c r="H178" s="141"/>
      <c r="I178" s="141"/>
    </row>
    <row r="179" spans="1:9">
      <c r="A179" s="141"/>
      <c r="B179" s="141"/>
      <c r="C179" s="141"/>
      <c r="D179" s="141"/>
      <c r="E179" s="141"/>
      <c r="F179" s="141"/>
      <c r="G179" s="141"/>
      <c r="H179" s="141"/>
      <c r="I179" s="141"/>
    </row>
    <row r="180" spans="1:9">
      <c r="A180" s="141"/>
      <c r="B180" s="141"/>
      <c r="C180" s="141"/>
      <c r="D180" s="141"/>
      <c r="E180" s="141"/>
      <c r="F180" s="141"/>
      <c r="G180" s="141"/>
      <c r="H180" s="141"/>
      <c r="I180" s="141"/>
    </row>
    <row r="181" spans="1:9">
      <c r="A181" s="141"/>
      <c r="B181" s="141"/>
      <c r="C181" s="141"/>
      <c r="D181" s="141"/>
      <c r="E181" s="141"/>
      <c r="F181" s="141"/>
      <c r="G181" s="141"/>
      <c r="H181" s="141"/>
      <c r="I181" s="141"/>
    </row>
    <row r="182" spans="1:9">
      <c r="A182" s="141"/>
      <c r="B182" s="141"/>
      <c r="C182" s="141"/>
      <c r="D182" s="141"/>
      <c r="E182" s="141"/>
      <c r="F182" s="141"/>
      <c r="G182" s="141"/>
      <c r="H182" s="141"/>
      <c r="I182" s="141"/>
    </row>
    <row r="183" spans="1:9">
      <c r="A183" s="141"/>
      <c r="B183" s="141"/>
      <c r="C183" s="141"/>
      <c r="D183" s="141"/>
      <c r="E183" s="141"/>
      <c r="F183" s="141"/>
      <c r="G183" s="141"/>
      <c r="H183" s="141"/>
      <c r="I183" s="141"/>
    </row>
    <row r="184" spans="1:9">
      <c r="A184" s="141"/>
      <c r="B184" s="141"/>
      <c r="C184" s="141"/>
      <c r="D184" s="141"/>
      <c r="E184" s="141"/>
      <c r="F184" s="141"/>
      <c r="G184" s="141"/>
      <c r="H184" s="141"/>
      <c r="I184" s="141"/>
    </row>
    <row r="185" spans="1:9">
      <c r="A185" s="141"/>
      <c r="B185" s="141"/>
      <c r="C185" s="141"/>
      <c r="D185" s="141"/>
      <c r="E185" s="141"/>
      <c r="F185" s="141"/>
      <c r="G185" s="141"/>
      <c r="H185" s="141"/>
      <c r="I185" s="141"/>
    </row>
    <row r="186" spans="1:9">
      <c r="A186" s="141"/>
      <c r="B186" s="141"/>
      <c r="C186" s="141"/>
      <c r="D186" s="141"/>
      <c r="E186" s="141"/>
      <c r="F186" s="141"/>
      <c r="G186" s="141"/>
      <c r="H186" s="141"/>
      <c r="I186" s="141"/>
    </row>
    <row r="187" spans="1:9">
      <c r="A187" s="141"/>
      <c r="B187" s="141"/>
      <c r="C187" s="141"/>
      <c r="D187" s="141"/>
      <c r="E187" s="141"/>
      <c r="F187" s="141"/>
      <c r="G187" s="141"/>
      <c r="H187" s="141"/>
      <c r="I187" s="141"/>
    </row>
    <row r="188" spans="1:9">
      <c r="A188" s="141"/>
      <c r="B188" s="141"/>
      <c r="C188" s="141"/>
      <c r="D188" s="141"/>
      <c r="E188" s="141"/>
      <c r="F188" s="141"/>
      <c r="G188" s="141"/>
      <c r="H188" s="141"/>
      <c r="I188" s="141"/>
    </row>
    <row r="189" spans="1:9">
      <c r="A189" s="141"/>
      <c r="B189" s="141"/>
      <c r="C189" s="141"/>
      <c r="D189" s="141"/>
      <c r="E189" s="141"/>
      <c r="F189" s="141"/>
      <c r="G189" s="141"/>
      <c r="H189" s="141"/>
      <c r="I189" s="141"/>
    </row>
    <row r="190" spans="1:9">
      <c r="A190" s="141"/>
      <c r="B190" s="141"/>
      <c r="C190" s="141"/>
      <c r="D190" s="141"/>
      <c r="E190" s="141"/>
      <c r="F190" s="141"/>
      <c r="G190" s="141"/>
      <c r="H190" s="141"/>
      <c r="I190" s="141"/>
    </row>
    <row r="191" spans="1:9">
      <c r="A191" s="141"/>
      <c r="B191" s="141"/>
      <c r="C191" s="141"/>
      <c r="D191" s="141"/>
      <c r="E191" s="141"/>
      <c r="F191" s="141"/>
      <c r="G191" s="141"/>
      <c r="H191" s="141"/>
      <c r="I191" s="141"/>
    </row>
    <row r="192" spans="1:9">
      <c r="A192" s="141"/>
      <c r="B192" s="141"/>
      <c r="C192" s="141"/>
      <c r="D192" s="141"/>
      <c r="E192" s="141"/>
      <c r="F192" s="141"/>
      <c r="G192" s="141"/>
      <c r="H192" s="141"/>
      <c r="I192" s="141"/>
    </row>
    <row r="193" spans="1:9">
      <c r="A193" s="141"/>
      <c r="B193" s="141"/>
      <c r="C193" s="141"/>
      <c r="D193" s="141"/>
      <c r="E193" s="141"/>
      <c r="F193" s="141"/>
      <c r="G193" s="141"/>
      <c r="H193" s="141"/>
      <c r="I193" s="141"/>
    </row>
    <row r="194" spans="1:9">
      <c r="A194" s="141"/>
      <c r="B194" s="141"/>
      <c r="C194" s="141"/>
      <c r="D194" s="141"/>
      <c r="E194" s="141"/>
      <c r="F194" s="141"/>
      <c r="G194" s="141"/>
      <c r="H194" s="141"/>
      <c r="I194" s="141"/>
    </row>
    <row r="195" spans="1:9">
      <c r="A195" s="141"/>
      <c r="B195" s="141"/>
      <c r="C195" s="141"/>
      <c r="D195" s="141"/>
      <c r="E195" s="141"/>
      <c r="F195" s="141"/>
      <c r="G195" s="141"/>
      <c r="H195" s="141"/>
      <c r="I195" s="141"/>
    </row>
    <row r="196" spans="1:9">
      <c r="A196" s="141"/>
      <c r="B196" s="141"/>
      <c r="C196" s="141"/>
      <c r="D196" s="141"/>
      <c r="E196" s="141"/>
      <c r="F196" s="141"/>
      <c r="G196" s="141"/>
      <c r="H196" s="141"/>
      <c r="I196" s="141"/>
    </row>
    <row r="197" spans="1:9">
      <c r="A197" s="141"/>
      <c r="B197" s="141"/>
      <c r="C197" s="141"/>
      <c r="D197" s="141"/>
      <c r="E197" s="141"/>
      <c r="F197" s="141"/>
      <c r="G197" s="141"/>
      <c r="H197" s="141"/>
      <c r="I197" s="141"/>
    </row>
    <row r="198" spans="1:9">
      <c r="A198" s="141"/>
      <c r="B198" s="141"/>
      <c r="C198" s="141"/>
      <c r="D198" s="141"/>
      <c r="E198" s="141"/>
      <c r="F198" s="141"/>
      <c r="G198" s="141"/>
      <c r="H198" s="141"/>
      <c r="I198" s="141"/>
    </row>
    <row r="199" spans="1:9">
      <c r="A199" s="141"/>
      <c r="B199" s="141"/>
      <c r="C199" s="141"/>
      <c r="D199" s="141"/>
      <c r="E199" s="141"/>
      <c r="F199" s="141"/>
      <c r="G199" s="141"/>
      <c r="H199" s="141"/>
      <c r="I199" s="141"/>
    </row>
    <row r="200" spans="1:9">
      <c r="A200" s="141"/>
      <c r="B200" s="141"/>
      <c r="C200" s="141"/>
      <c r="D200" s="141"/>
      <c r="E200" s="141"/>
      <c r="F200" s="141"/>
      <c r="G200" s="141"/>
      <c r="H200" s="141"/>
      <c r="I200" s="141"/>
    </row>
    <row r="201" spans="1:9">
      <c r="A201" s="141"/>
      <c r="B201" s="141"/>
      <c r="C201" s="141"/>
      <c r="D201" s="141"/>
      <c r="E201" s="141"/>
      <c r="F201" s="141"/>
      <c r="G201" s="141"/>
      <c r="H201" s="141"/>
      <c r="I201" s="141"/>
    </row>
    <row r="202" spans="1:9">
      <c r="A202" s="141"/>
      <c r="B202" s="141"/>
      <c r="C202" s="141"/>
      <c r="D202" s="141"/>
      <c r="E202" s="141"/>
      <c r="F202" s="141"/>
      <c r="G202" s="141"/>
      <c r="H202" s="141"/>
      <c r="I202" s="141"/>
    </row>
    <row r="203" spans="1:9">
      <c r="A203" s="141"/>
      <c r="B203" s="141"/>
      <c r="C203" s="141"/>
      <c r="D203" s="141"/>
      <c r="E203" s="141"/>
      <c r="F203" s="141"/>
      <c r="G203" s="141"/>
      <c r="H203" s="141"/>
      <c r="I203" s="141"/>
    </row>
  </sheetData>
  <mergeCells count="51">
    <mergeCell ref="A6:A12"/>
    <mergeCell ref="B6:B12"/>
    <mergeCell ref="I71:I72"/>
    <mergeCell ref="A28:A37"/>
    <mergeCell ref="I39:I40"/>
    <mergeCell ref="B28:B37"/>
    <mergeCell ref="I28:I29"/>
    <mergeCell ref="A15:A18"/>
    <mergeCell ref="B15:B18"/>
    <mergeCell ref="I15:I16"/>
    <mergeCell ref="I17:I18"/>
    <mergeCell ref="I19:I20"/>
    <mergeCell ref="B50:B54"/>
    <mergeCell ref="I51:I54"/>
    <mergeCell ref="I88:I89"/>
    <mergeCell ref="A50:A54"/>
    <mergeCell ref="I56:I57"/>
    <mergeCell ref="A69:A73"/>
    <mergeCell ref="B55:B63"/>
    <mergeCell ref="I101:I102"/>
    <mergeCell ref="B101:B104"/>
    <mergeCell ref="I98:I99"/>
    <mergeCell ref="A3:I3"/>
    <mergeCell ref="A13:A14"/>
    <mergeCell ref="B13:B14"/>
    <mergeCell ref="I7:I8"/>
    <mergeCell ref="B24:B26"/>
    <mergeCell ref="A24:A26"/>
    <mergeCell ref="B19:B21"/>
    <mergeCell ref="A19:A21"/>
    <mergeCell ref="A22:A23"/>
    <mergeCell ref="B22:B23"/>
    <mergeCell ref="I13:I14"/>
    <mergeCell ref="A101:A104"/>
    <mergeCell ref="I90:I91"/>
    <mergeCell ref="A107:A111"/>
    <mergeCell ref="A112:A115"/>
    <mergeCell ref="A39:A49"/>
    <mergeCell ref="B97:B100"/>
    <mergeCell ref="B39:B49"/>
    <mergeCell ref="A97:A100"/>
    <mergeCell ref="B90:B96"/>
    <mergeCell ref="A90:A96"/>
    <mergeCell ref="B69:B73"/>
    <mergeCell ref="A55:A63"/>
    <mergeCell ref="B107:B111"/>
    <mergeCell ref="B112:B115"/>
    <mergeCell ref="A64:A67"/>
    <mergeCell ref="B64:B67"/>
    <mergeCell ref="B74:B89"/>
    <mergeCell ref="A74:A89"/>
  </mergeCells>
  <pageMargins left="0.51181102362204722" right="0.11811023622047245" top="0.35433070866141736" bottom="0.15748031496062992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0"/>
  <sheetViews>
    <sheetView workbookViewId="0">
      <selection activeCell="F10" sqref="F10"/>
    </sheetView>
  </sheetViews>
  <sheetFormatPr defaultColWidth="9.140625" defaultRowHeight="12.75"/>
  <cols>
    <col min="1" max="1" width="3" style="140" bestFit="1" customWidth="1"/>
    <col min="2" max="2" width="32.85546875" style="140" customWidth="1"/>
    <col min="3" max="3" width="8.42578125" style="140" bestFit="1" customWidth="1"/>
    <col min="4" max="4" width="10.7109375" style="140" hidden="1" customWidth="1"/>
    <col min="5" max="5" width="8.7109375" style="140" hidden="1" customWidth="1"/>
    <col min="6" max="6" width="13.85546875" style="140" customWidth="1"/>
    <col min="7" max="7" width="11.5703125" style="140" customWidth="1"/>
    <col min="8" max="8" width="12" style="140" customWidth="1"/>
    <col min="9" max="9" width="11.5703125" style="140" customWidth="1"/>
    <col min="10" max="10" width="44.7109375" style="140" customWidth="1"/>
    <col min="11" max="12" width="9.5703125" style="140" hidden="1" customWidth="1"/>
    <col min="13" max="16" width="0" style="140" hidden="1" customWidth="1"/>
    <col min="17" max="16384" width="9.140625" style="140"/>
  </cols>
  <sheetData>
    <row r="3" spans="1:14" ht="27" customHeight="1">
      <c r="A3" s="278" t="s">
        <v>205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4" ht="70.5" customHeight="1">
      <c r="A4" s="208" t="s">
        <v>2</v>
      </c>
      <c r="B4" s="208" t="s">
        <v>101</v>
      </c>
      <c r="C4" s="208" t="s">
        <v>206</v>
      </c>
      <c r="D4" s="209" t="s">
        <v>102</v>
      </c>
      <c r="E4" s="209" t="s">
        <v>103</v>
      </c>
      <c r="F4" s="218" t="s">
        <v>262</v>
      </c>
      <c r="G4" s="218" t="s">
        <v>261</v>
      </c>
      <c r="H4" s="209" t="s">
        <v>180</v>
      </c>
      <c r="I4" s="209" t="s">
        <v>179</v>
      </c>
      <c r="J4" s="208" t="s">
        <v>207</v>
      </c>
      <c r="K4" s="141"/>
      <c r="L4" s="141"/>
    </row>
    <row r="5" spans="1:14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  <c r="H5" s="133">
        <v>8</v>
      </c>
      <c r="I5" s="133">
        <v>9</v>
      </c>
      <c r="J5" s="133">
        <v>10</v>
      </c>
      <c r="K5" s="141"/>
      <c r="L5" s="141"/>
      <c r="M5" s="142"/>
    </row>
    <row r="6" spans="1:14">
      <c r="A6" s="214"/>
      <c r="B6" s="284" t="s">
        <v>244</v>
      </c>
      <c r="C6" s="211">
        <v>2218</v>
      </c>
      <c r="D6" s="212"/>
      <c r="E6" s="213"/>
      <c r="F6" s="212"/>
      <c r="G6" s="213">
        <v>4788</v>
      </c>
      <c r="H6" s="212"/>
      <c r="I6" s="213"/>
      <c r="J6" s="215"/>
      <c r="M6" s="142"/>
      <c r="N6" s="143"/>
    </row>
    <row r="7" spans="1:14">
      <c r="A7" s="214"/>
      <c r="B7" s="285"/>
      <c r="C7" s="211">
        <v>2221</v>
      </c>
      <c r="D7" s="212"/>
      <c r="E7" s="213"/>
      <c r="F7" s="212"/>
      <c r="G7" s="213">
        <v>1308.4000000000001</v>
      </c>
      <c r="H7" s="212"/>
      <c r="I7" s="213"/>
      <c r="J7" s="215"/>
      <c r="M7" s="142"/>
      <c r="N7" s="143"/>
    </row>
    <row r="8" spans="1:14">
      <c r="A8" s="214"/>
      <c r="B8" s="285"/>
      <c r="C8" s="211">
        <v>2222</v>
      </c>
      <c r="D8" s="212"/>
      <c r="E8" s="213"/>
      <c r="F8" s="212"/>
      <c r="G8" s="213">
        <v>1036.4000000000001</v>
      </c>
      <c r="H8" s="212"/>
      <c r="I8" s="213"/>
      <c r="J8" s="215"/>
      <c r="M8" s="142"/>
      <c r="N8" s="143"/>
    </row>
    <row r="9" spans="1:14">
      <c r="A9" s="214"/>
      <c r="B9" s="286"/>
      <c r="C9" s="211">
        <v>3112</v>
      </c>
      <c r="D9" s="212"/>
      <c r="E9" s="213"/>
      <c r="F9" s="212"/>
      <c r="G9" s="213">
        <v>1071.9000000000001</v>
      </c>
      <c r="H9" s="212"/>
      <c r="I9" s="213"/>
      <c r="J9" s="215"/>
      <c r="M9" s="142"/>
      <c r="N9" s="143"/>
    </row>
    <row r="10" spans="1:14">
      <c r="A10" s="223"/>
      <c r="B10" s="287" t="s">
        <v>289</v>
      </c>
      <c r="C10" s="219">
        <v>2111</v>
      </c>
      <c r="D10" s="220"/>
      <c r="E10" s="221"/>
      <c r="F10" s="220">
        <v>500.1</v>
      </c>
      <c r="G10" s="221"/>
      <c r="H10" s="220"/>
      <c r="I10" s="221"/>
      <c r="J10" s="287" t="s">
        <v>292</v>
      </c>
      <c r="M10" s="142"/>
      <c r="N10" s="143"/>
    </row>
    <row r="11" spans="1:14">
      <c r="A11" s="223"/>
      <c r="B11" s="288"/>
      <c r="C11" s="219">
        <v>2121</v>
      </c>
      <c r="D11" s="220"/>
      <c r="E11" s="221"/>
      <c r="F11" s="220">
        <v>73.900000000000006</v>
      </c>
      <c r="G11" s="221"/>
      <c r="H11" s="220"/>
      <c r="I11" s="221"/>
      <c r="J11" s="289"/>
      <c r="M11" s="142"/>
      <c r="N11" s="143"/>
    </row>
    <row r="12" spans="1:14">
      <c r="A12" s="223"/>
      <c r="B12" s="288"/>
      <c r="C12" s="219">
        <v>2212</v>
      </c>
      <c r="D12" s="220"/>
      <c r="E12" s="221"/>
      <c r="F12" s="220"/>
      <c r="G12" s="220">
        <v>0.7</v>
      </c>
      <c r="H12" s="220"/>
      <c r="I12" s="221"/>
      <c r="J12" s="222" t="s">
        <v>293</v>
      </c>
      <c r="M12" s="142"/>
      <c r="N12" s="143"/>
    </row>
    <row r="13" spans="1:14">
      <c r="A13" s="223"/>
      <c r="B13" s="288"/>
      <c r="C13" s="219">
        <v>2215</v>
      </c>
      <c r="D13" s="220"/>
      <c r="E13" s="221"/>
      <c r="F13" s="220">
        <v>970</v>
      </c>
      <c r="G13" s="221"/>
      <c r="H13" s="220"/>
      <c r="I13" s="221"/>
      <c r="J13" s="222" t="s">
        <v>295</v>
      </c>
      <c r="M13" s="142"/>
      <c r="N13" s="143"/>
    </row>
    <row r="14" spans="1:14">
      <c r="A14" s="223"/>
      <c r="B14" s="288"/>
      <c r="C14" s="219">
        <v>2215</v>
      </c>
      <c r="D14" s="220"/>
      <c r="E14" s="221"/>
      <c r="F14" s="220"/>
      <c r="G14" s="221">
        <v>0.5</v>
      </c>
      <c r="H14" s="220"/>
      <c r="I14" s="221"/>
      <c r="J14" s="222" t="s">
        <v>294</v>
      </c>
      <c r="M14" s="142"/>
      <c r="N14" s="143"/>
    </row>
    <row r="15" spans="1:14">
      <c r="A15" s="223"/>
      <c r="B15" s="288"/>
      <c r="C15" s="219">
        <v>221549</v>
      </c>
      <c r="D15" s="220"/>
      <c r="E15" s="221"/>
      <c r="F15" s="220">
        <v>19.399999999999999</v>
      </c>
      <c r="G15" s="221"/>
      <c r="H15" s="220"/>
      <c r="I15" s="221"/>
      <c r="J15" s="222" t="s">
        <v>297</v>
      </c>
      <c r="M15" s="142"/>
      <c r="N15" s="143"/>
    </row>
    <row r="16" spans="1:14">
      <c r="A16" s="223"/>
      <c r="B16" s="288"/>
      <c r="C16" s="219">
        <v>221542</v>
      </c>
      <c r="D16" s="220"/>
      <c r="E16" s="221"/>
      <c r="F16" s="220">
        <v>40.299999999999997</v>
      </c>
      <c r="G16" s="221"/>
      <c r="H16" s="220"/>
      <c r="I16" s="221"/>
      <c r="J16" s="222" t="s">
        <v>296</v>
      </c>
      <c r="M16" s="142"/>
      <c r="N16" s="143"/>
    </row>
    <row r="17" spans="1:14">
      <c r="A17" s="223"/>
      <c r="B17" s="289"/>
      <c r="C17" s="219">
        <v>2822</v>
      </c>
      <c r="D17" s="220"/>
      <c r="E17" s="221"/>
      <c r="F17" s="220">
        <v>782.5</v>
      </c>
      <c r="G17" s="221"/>
      <c r="H17" s="220"/>
      <c r="I17" s="221"/>
      <c r="J17" s="222" t="s">
        <v>298</v>
      </c>
      <c r="M17" s="142"/>
      <c r="N17" s="143"/>
    </row>
    <row r="18" spans="1:14">
      <c r="A18" s="208"/>
      <c r="B18" s="83"/>
      <c r="C18" s="81"/>
      <c r="D18" s="201">
        <f>SUM(D6:D17)</f>
        <v>0</v>
      </c>
      <c r="E18" s="201">
        <f>SUM(E6:E17)</f>
        <v>0</v>
      </c>
      <c r="F18" s="201">
        <f t="shared" ref="F18:I18" si="0">SUM(F6:F17)</f>
        <v>2386.1999999999998</v>
      </c>
      <c r="G18" s="201">
        <f t="shared" si="0"/>
        <v>8205.9</v>
      </c>
      <c r="H18" s="201">
        <f t="shared" si="0"/>
        <v>0</v>
      </c>
      <c r="I18" s="201">
        <f t="shared" si="0"/>
        <v>0</v>
      </c>
      <c r="J18" s="82"/>
      <c r="L18" s="143"/>
      <c r="M18" s="142">
        <f>H18-E18</f>
        <v>0</v>
      </c>
      <c r="N18" s="143" t="e">
        <f>D18-#REF!</f>
        <v>#REF!</v>
      </c>
    </row>
    <row r="19" spans="1:14">
      <c r="A19" s="146"/>
      <c r="B19" s="131"/>
      <c r="C19" s="116"/>
      <c r="D19" s="205"/>
      <c r="E19" s="205">
        <f>D18-E18</f>
        <v>0</v>
      </c>
      <c r="F19" s="205"/>
      <c r="G19" s="205">
        <f>F18-G18</f>
        <v>-5819.7</v>
      </c>
      <c r="H19" s="205"/>
      <c r="I19" s="205">
        <f>H18-I18</f>
        <v>0</v>
      </c>
      <c r="J19" s="124"/>
    </row>
    <row r="20" spans="1:14">
      <c r="A20" s="146"/>
      <c r="B20" s="131"/>
      <c r="C20" s="116"/>
      <c r="D20" s="132"/>
      <c r="E20" s="132"/>
      <c r="F20" s="132"/>
      <c r="G20" s="132"/>
      <c r="H20" s="132"/>
      <c r="I20" s="132"/>
      <c r="J20" s="124"/>
      <c r="M20" s="142"/>
    </row>
    <row r="21" spans="1:14">
      <c r="E21" s="143"/>
      <c r="G21" s="143"/>
      <c r="I21" s="143"/>
    </row>
    <row r="22" spans="1:14">
      <c r="B22" s="135"/>
    </row>
    <row r="24" spans="1:14">
      <c r="A24" s="116"/>
      <c r="B24" s="146"/>
      <c r="C24" s="146"/>
      <c r="D24" s="134"/>
      <c r="E24" s="130"/>
      <c r="F24" s="134"/>
      <c r="G24" s="130"/>
      <c r="H24" s="134"/>
      <c r="I24" s="130"/>
      <c r="J24" s="131"/>
    </row>
    <row r="25" spans="1:14">
      <c r="A25" s="210"/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4">
      <c r="A26" s="141"/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4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4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4">
      <c r="A29" s="141"/>
      <c r="B29" s="141"/>
      <c r="C29" s="141"/>
      <c r="D29" s="141"/>
      <c r="E29" s="141"/>
      <c r="F29" s="141"/>
      <c r="G29" s="141"/>
      <c r="H29" s="141"/>
      <c r="I29" s="141"/>
      <c r="J29" s="141"/>
    </row>
    <row r="30" spans="1:14">
      <c r="A30" s="141"/>
      <c r="B30" s="141"/>
      <c r="C30" s="141"/>
      <c r="D30" s="141"/>
      <c r="E30" s="141"/>
      <c r="F30" s="141"/>
      <c r="G30" s="141"/>
      <c r="H30" s="141"/>
      <c r="I30" s="141"/>
      <c r="J30" s="141"/>
    </row>
    <row r="31" spans="1:14">
      <c r="A31" s="141"/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4">
      <c r="A32" s="141"/>
      <c r="B32" s="141"/>
      <c r="C32" s="141"/>
      <c r="D32" s="141"/>
      <c r="E32" s="141"/>
      <c r="F32" s="141"/>
      <c r="G32" s="141"/>
      <c r="H32" s="141"/>
      <c r="I32" s="141"/>
      <c r="J32" s="141"/>
    </row>
    <row r="33" spans="1:10">
      <c r="A33" s="141"/>
      <c r="B33" s="141"/>
      <c r="C33" s="141"/>
      <c r="D33" s="141"/>
      <c r="E33" s="141"/>
      <c r="F33" s="141"/>
      <c r="G33" s="141"/>
      <c r="H33" s="141"/>
      <c r="I33" s="141"/>
      <c r="J33" s="141"/>
    </row>
    <row r="34" spans="1:10">
      <c r="A34" s="141"/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>
      <c r="A35" s="141"/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>
      <c r="A36" s="141"/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10">
      <c r="A37" s="141"/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0">
      <c r="A38" s="141"/>
      <c r="B38" s="141"/>
      <c r="C38" s="141"/>
      <c r="D38" s="141"/>
      <c r="E38" s="141"/>
      <c r="F38" s="141"/>
      <c r="G38" s="141"/>
      <c r="H38" s="141"/>
      <c r="I38" s="141"/>
      <c r="J38" s="141"/>
    </row>
    <row r="39" spans="1:10">
      <c r="A39" s="141"/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>
      <c r="A40" s="141"/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>
      <c r="A41" s="141"/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0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>
      <c r="A43" s="141"/>
      <c r="B43" s="141"/>
      <c r="C43" s="141"/>
      <c r="D43" s="141"/>
      <c r="E43" s="141"/>
      <c r="F43" s="141"/>
      <c r="G43" s="141"/>
      <c r="H43" s="141"/>
      <c r="I43" s="141"/>
      <c r="J43" s="141"/>
    </row>
    <row r="44" spans="1:10">
      <c r="A44" s="141"/>
      <c r="B44" s="141"/>
      <c r="C44" s="141"/>
      <c r="D44" s="141"/>
      <c r="E44" s="141"/>
      <c r="F44" s="141"/>
      <c r="G44" s="141"/>
      <c r="H44" s="141"/>
      <c r="I44" s="141"/>
      <c r="J44" s="141"/>
    </row>
    <row r="45" spans="1:10">
      <c r="A45" s="141"/>
      <c r="B45" s="141"/>
      <c r="C45" s="141"/>
      <c r="D45" s="141"/>
      <c r="E45" s="141"/>
      <c r="F45" s="141"/>
      <c r="G45" s="141"/>
      <c r="H45" s="141"/>
      <c r="I45" s="141"/>
      <c r="J45" s="141"/>
    </row>
    <row r="46" spans="1:10">
      <c r="A46" s="141"/>
      <c r="B46" s="141"/>
      <c r="C46" s="141"/>
      <c r="D46" s="141"/>
      <c r="E46" s="141"/>
      <c r="F46" s="141"/>
      <c r="G46" s="141"/>
      <c r="H46" s="141"/>
      <c r="I46" s="141"/>
      <c r="J46" s="141"/>
    </row>
    <row r="47" spans="1:10">
      <c r="A47" s="141"/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>
      <c r="A48" s="141"/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>
      <c r="A49" s="141"/>
      <c r="B49" s="141"/>
      <c r="C49" s="141"/>
      <c r="D49" s="141"/>
      <c r="E49" s="141"/>
      <c r="F49" s="141"/>
      <c r="G49" s="141"/>
      <c r="H49" s="141"/>
      <c r="I49" s="141"/>
      <c r="J49" s="141"/>
    </row>
    <row r="50" spans="1:10">
      <c r="A50" s="141"/>
      <c r="B50" s="141"/>
      <c r="C50" s="141"/>
      <c r="D50" s="141"/>
      <c r="E50" s="141"/>
      <c r="F50" s="141"/>
      <c r="G50" s="141"/>
      <c r="H50" s="141"/>
      <c r="I50" s="141"/>
      <c r="J50" s="141"/>
    </row>
    <row r="51" spans="1:10">
      <c r="A51" s="141"/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>
      <c r="A52" s="141"/>
      <c r="B52" s="141"/>
      <c r="C52" s="141"/>
      <c r="D52" s="141"/>
      <c r="E52" s="141"/>
      <c r="F52" s="141"/>
      <c r="G52" s="141"/>
      <c r="H52" s="141"/>
      <c r="I52" s="141"/>
      <c r="J52" s="141"/>
    </row>
    <row r="53" spans="1:10">
      <c r="A53" s="141"/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0">
      <c r="A54" s="141"/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0">
      <c r="A55" s="141"/>
      <c r="B55" s="141"/>
      <c r="C55" s="141"/>
      <c r="D55" s="141"/>
      <c r="E55" s="141"/>
      <c r="F55" s="141"/>
      <c r="G55" s="141"/>
      <c r="H55" s="141"/>
      <c r="I55" s="141"/>
      <c r="J55" s="141"/>
    </row>
    <row r="56" spans="1:10">
      <c r="A56" s="141"/>
      <c r="B56" s="141"/>
      <c r="C56" s="141"/>
      <c r="D56" s="141"/>
      <c r="E56" s="141"/>
      <c r="F56" s="141"/>
      <c r="G56" s="141"/>
      <c r="H56" s="141"/>
      <c r="I56" s="141"/>
      <c r="J56" s="141"/>
    </row>
    <row r="57" spans="1:10">
      <c r="A57" s="141"/>
      <c r="B57" s="141"/>
      <c r="C57" s="141"/>
      <c r="D57" s="141"/>
      <c r="E57" s="141"/>
      <c r="F57" s="141"/>
      <c r="G57" s="141"/>
      <c r="H57" s="141"/>
      <c r="I57" s="141"/>
      <c r="J57" s="141"/>
    </row>
    <row r="58" spans="1:10">
      <c r="A58" s="141"/>
      <c r="B58" s="141"/>
      <c r="C58" s="141"/>
      <c r="D58" s="141"/>
      <c r="E58" s="141"/>
      <c r="F58" s="141"/>
      <c r="G58" s="141"/>
      <c r="H58" s="141"/>
      <c r="I58" s="141"/>
      <c r="J58" s="141"/>
    </row>
    <row r="59" spans="1:10">
      <c r="A59" s="141"/>
      <c r="B59" s="141"/>
      <c r="C59" s="141"/>
      <c r="D59" s="141"/>
      <c r="E59" s="141"/>
      <c r="F59" s="141"/>
      <c r="G59" s="141"/>
      <c r="H59" s="141"/>
      <c r="I59" s="141"/>
      <c r="J59" s="141"/>
    </row>
    <row r="60" spans="1:10">
      <c r="A60" s="141"/>
      <c r="B60" s="141"/>
      <c r="C60" s="141"/>
      <c r="D60" s="141"/>
      <c r="E60" s="141"/>
      <c r="F60" s="141"/>
      <c r="G60" s="141"/>
      <c r="H60" s="141"/>
      <c r="I60" s="141"/>
      <c r="J60" s="141"/>
    </row>
    <row r="61" spans="1:10">
      <c r="A61" s="141"/>
      <c r="B61" s="141"/>
      <c r="C61" s="141"/>
      <c r="D61" s="141"/>
      <c r="E61" s="141"/>
      <c r="F61" s="141"/>
      <c r="G61" s="141"/>
      <c r="H61" s="141"/>
      <c r="I61" s="141"/>
      <c r="J61" s="141"/>
    </row>
    <row r="62" spans="1:10">
      <c r="A62" s="141"/>
      <c r="B62" s="141"/>
      <c r="C62" s="141"/>
      <c r="D62" s="141"/>
      <c r="E62" s="141"/>
      <c r="F62" s="141"/>
      <c r="G62" s="141"/>
      <c r="H62" s="141"/>
      <c r="I62" s="141"/>
      <c r="J62" s="141"/>
    </row>
    <row r="63" spans="1:10">
      <c r="A63" s="141"/>
      <c r="B63" s="141"/>
      <c r="C63" s="141"/>
      <c r="D63" s="141"/>
      <c r="E63" s="141"/>
      <c r="F63" s="141"/>
      <c r="G63" s="141"/>
      <c r="H63" s="141"/>
      <c r="I63" s="141"/>
      <c r="J63" s="141"/>
    </row>
    <row r="64" spans="1:10">
      <c r="A64" s="141"/>
      <c r="B64" s="141"/>
      <c r="C64" s="141"/>
      <c r="D64" s="141"/>
      <c r="E64" s="141"/>
      <c r="F64" s="141"/>
      <c r="G64" s="141"/>
      <c r="H64" s="141"/>
      <c r="I64" s="141"/>
      <c r="J64" s="141"/>
    </row>
    <row r="65" spans="1:10">
      <c r="A65" s="141"/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0">
      <c r="A66" s="141"/>
      <c r="B66" s="141"/>
      <c r="C66" s="141"/>
      <c r="D66" s="141"/>
      <c r="E66" s="141"/>
      <c r="F66" s="141"/>
      <c r="G66" s="141"/>
      <c r="H66" s="141"/>
      <c r="I66" s="141"/>
      <c r="J66" s="141"/>
    </row>
    <row r="67" spans="1:10">
      <c r="A67" s="141"/>
      <c r="B67" s="141"/>
      <c r="C67" s="141"/>
      <c r="D67" s="141"/>
      <c r="E67" s="141"/>
      <c r="F67" s="141"/>
      <c r="G67" s="141"/>
      <c r="H67" s="141"/>
      <c r="I67" s="141"/>
      <c r="J67" s="141"/>
    </row>
    <row r="68" spans="1:10">
      <c r="A68" s="141"/>
      <c r="B68" s="141"/>
      <c r="C68" s="141"/>
      <c r="D68" s="141"/>
      <c r="E68" s="141"/>
      <c r="F68" s="141"/>
      <c r="G68" s="141"/>
      <c r="H68" s="141"/>
      <c r="I68" s="141"/>
      <c r="J68" s="141"/>
    </row>
    <row r="69" spans="1:10">
      <c r="A69" s="141"/>
      <c r="B69" s="141"/>
      <c r="C69" s="141"/>
      <c r="D69" s="141"/>
      <c r="E69" s="141"/>
      <c r="F69" s="141"/>
      <c r="G69" s="141"/>
      <c r="H69" s="141"/>
      <c r="I69" s="141"/>
      <c r="J69" s="141"/>
    </row>
    <row r="70" spans="1:10">
      <c r="A70" s="141"/>
      <c r="B70" s="141"/>
      <c r="C70" s="141"/>
      <c r="D70" s="141"/>
      <c r="E70" s="141"/>
      <c r="F70" s="141"/>
      <c r="G70" s="141"/>
      <c r="H70" s="141"/>
      <c r="I70" s="141"/>
      <c r="J70" s="141"/>
    </row>
    <row r="71" spans="1:10">
      <c r="A71" s="141"/>
      <c r="B71" s="141"/>
      <c r="C71" s="141"/>
      <c r="D71" s="141"/>
      <c r="E71" s="141"/>
      <c r="F71" s="141"/>
      <c r="G71" s="141"/>
      <c r="H71" s="141"/>
      <c r="I71" s="141"/>
      <c r="J71" s="141"/>
    </row>
    <row r="72" spans="1:10">
      <c r="A72" s="141"/>
      <c r="B72" s="141"/>
      <c r="C72" s="141"/>
      <c r="D72" s="141"/>
      <c r="E72" s="141"/>
      <c r="F72" s="141"/>
      <c r="G72" s="141"/>
      <c r="H72" s="141"/>
      <c r="I72" s="141"/>
      <c r="J72" s="141"/>
    </row>
    <row r="73" spans="1:10">
      <c r="A73" s="141"/>
      <c r="B73" s="141"/>
      <c r="C73" s="141"/>
      <c r="D73" s="141"/>
      <c r="E73" s="141"/>
      <c r="F73" s="141"/>
      <c r="G73" s="141"/>
      <c r="H73" s="141"/>
      <c r="I73" s="141"/>
      <c r="J73" s="141"/>
    </row>
    <row r="74" spans="1:10">
      <c r="A74" s="141"/>
      <c r="B74" s="141"/>
      <c r="C74" s="141"/>
      <c r="D74" s="141"/>
      <c r="E74" s="141"/>
      <c r="F74" s="141"/>
      <c r="G74" s="141"/>
      <c r="H74" s="141"/>
      <c r="I74" s="141"/>
      <c r="J74" s="141"/>
    </row>
    <row r="75" spans="1:10">
      <c r="A75" s="141"/>
      <c r="B75" s="141"/>
      <c r="C75" s="141"/>
      <c r="D75" s="141"/>
      <c r="E75" s="141"/>
      <c r="F75" s="141"/>
      <c r="G75" s="141"/>
      <c r="H75" s="141"/>
      <c r="I75" s="141"/>
      <c r="J75" s="141"/>
    </row>
    <row r="76" spans="1:10">
      <c r="A76" s="141"/>
      <c r="B76" s="141"/>
      <c r="C76" s="141"/>
      <c r="D76" s="141"/>
      <c r="E76" s="141"/>
      <c r="F76" s="141"/>
      <c r="G76" s="141"/>
      <c r="H76" s="141"/>
      <c r="I76" s="141"/>
      <c r="J76" s="141"/>
    </row>
    <row r="77" spans="1:10">
      <c r="A77" s="141"/>
      <c r="B77" s="141"/>
      <c r="C77" s="141"/>
      <c r="D77" s="141"/>
      <c r="E77" s="141"/>
      <c r="F77" s="141"/>
      <c r="G77" s="141"/>
      <c r="H77" s="141"/>
      <c r="I77" s="141"/>
      <c r="J77" s="141"/>
    </row>
    <row r="78" spans="1:10">
      <c r="A78" s="141"/>
      <c r="B78" s="141"/>
      <c r="C78" s="141"/>
      <c r="D78" s="141"/>
      <c r="E78" s="141"/>
      <c r="F78" s="141"/>
      <c r="G78" s="141"/>
      <c r="H78" s="141"/>
      <c r="I78" s="141"/>
      <c r="J78" s="141"/>
    </row>
    <row r="79" spans="1:10">
      <c r="A79" s="141"/>
      <c r="B79" s="141"/>
      <c r="C79" s="141"/>
      <c r="D79" s="141"/>
      <c r="E79" s="141"/>
      <c r="F79" s="141"/>
      <c r="G79" s="141"/>
      <c r="H79" s="141"/>
      <c r="I79" s="141"/>
      <c r="J79" s="141"/>
    </row>
    <row r="80" spans="1:10">
      <c r="A80" s="141"/>
      <c r="B80" s="141"/>
      <c r="C80" s="141"/>
      <c r="D80" s="141"/>
      <c r="E80" s="141"/>
      <c r="F80" s="141"/>
      <c r="G80" s="141"/>
      <c r="H80" s="141"/>
      <c r="I80" s="141"/>
      <c r="J80" s="141"/>
    </row>
    <row r="81" spans="1:10">
      <c r="A81" s="141"/>
      <c r="B81" s="141"/>
      <c r="C81" s="141"/>
      <c r="D81" s="141"/>
      <c r="E81" s="141"/>
      <c r="F81" s="141"/>
      <c r="G81" s="141"/>
      <c r="H81" s="141"/>
      <c r="I81" s="141"/>
      <c r="J81" s="141"/>
    </row>
    <row r="82" spans="1:10">
      <c r="A82" s="141"/>
      <c r="B82" s="141"/>
      <c r="C82" s="141"/>
      <c r="D82" s="141"/>
      <c r="E82" s="141"/>
      <c r="F82" s="141"/>
      <c r="G82" s="141"/>
      <c r="H82" s="141"/>
      <c r="I82" s="141"/>
      <c r="J82" s="141"/>
    </row>
    <row r="83" spans="1:10">
      <c r="A83" s="141"/>
      <c r="B83" s="141"/>
      <c r="C83" s="141"/>
      <c r="D83" s="141"/>
      <c r="E83" s="141"/>
      <c r="F83" s="141"/>
      <c r="G83" s="141"/>
      <c r="H83" s="141"/>
      <c r="I83" s="141"/>
      <c r="J83" s="141"/>
    </row>
    <row r="84" spans="1:10">
      <c r="A84" s="141"/>
      <c r="B84" s="141"/>
      <c r="C84" s="141"/>
      <c r="D84" s="141"/>
      <c r="E84" s="141"/>
      <c r="F84" s="141"/>
      <c r="G84" s="141"/>
      <c r="H84" s="141"/>
      <c r="I84" s="141"/>
      <c r="J84" s="141"/>
    </row>
    <row r="85" spans="1:10">
      <c r="A85" s="141"/>
      <c r="B85" s="141"/>
      <c r="C85" s="141"/>
      <c r="D85" s="141"/>
      <c r="E85" s="141"/>
      <c r="F85" s="141"/>
      <c r="G85" s="141"/>
      <c r="H85" s="141"/>
      <c r="I85" s="141"/>
      <c r="J85" s="141"/>
    </row>
    <row r="86" spans="1:10">
      <c r="A86" s="141"/>
      <c r="B86" s="141"/>
      <c r="C86" s="141"/>
      <c r="D86" s="141"/>
      <c r="E86" s="141"/>
      <c r="F86" s="141"/>
      <c r="G86" s="141"/>
      <c r="H86" s="141"/>
      <c r="I86" s="141"/>
      <c r="J86" s="141"/>
    </row>
    <row r="87" spans="1:10">
      <c r="A87" s="141"/>
      <c r="B87" s="141"/>
      <c r="C87" s="141"/>
      <c r="D87" s="141"/>
      <c r="E87" s="141"/>
      <c r="F87" s="141"/>
      <c r="G87" s="141"/>
      <c r="H87" s="141"/>
      <c r="I87" s="141"/>
      <c r="J87" s="141"/>
    </row>
    <row r="88" spans="1:10">
      <c r="A88" s="141"/>
      <c r="B88" s="141"/>
      <c r="C88" s="141"/>
      <c r="D88" s="141"/>
      <c r="E88" s="141"/>
      <c r="F88" s="141"/>
      <c r="G88" s="141"/>
      <c r="H88" s="141"/>
      <c r="I88" s="141"/>
      <c r="J88" s="141"/>
    </row>
    <row r="89" spans="1:10">
      <c r="A89" s="141"/>
      <c r="B89" s="141"/>
      <c r="C89" s="141"/>
      <c r="D89" s="141"/>
      <c r="E89" s="141"/>
      <c r="F89" s="141"/>
      <c r="G89" s="141"/>
      <c r="H89" s="141"/>
      <c r="I89" s="141"/>
      <c r="J89" s="141"/>
    </row>
    <row r="90" spans="1:10">
      <c r="A90" s="141"/>
      <c r="B90" s="141"/>
      <c r="C90" s="141"/>
      <c r="D90" s="141"/>
      <c r="E90" s="141"/>
      <c r="F90" s="141"/>
      <c r="G90" s="141"/>
      <c r="H90" s="141"/>
      <c r="I90" s="141"/>
      <c r="J90" s="141"/>
    </row>
  </sheetData>
  <mergeCells count="4">
    <mergeCell ref="B6:B9"/>
    <mergeCell ref="A3:J3"/>
    <mergeCell ref="B10:B17"/>
    <mergeCell ref="J10:J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5"/>
  <sheetViews>
    <sheetView workbookViewId="0">
      <selection activeCell="C2" sqref="C2"/>
    </sheetView>
  </sheetViews>
  <sheetFormatPr defaultRowHeight="12.75"/>
  <cols>
    <col min="1" max="1" width="4.28515625" style="119" customWidth="1"/>
    <col min="2" max="2" width="8.85546875" style="119" customWidth="1"/>
    <col min="3" max="3" width="69.85546875" style="119" customWidth="1"/>
    <col min="4" max="4" width="5.85546875" style="119" customWidth="1"/>
    <col min="5" max="6" width="10" style="119" hidden="1" customWidth="1"/>
    <col min="7" max="8" width="9.85546875" style="119" hidden="1" customWidth="1"/>
    <col min="9" max="9" width="9.85546875" style="119" customWidth="1"/>
    <col min="10" max="10" width="11.42578125" style="119" customWidth="1"/>
    <col min="11" max="11" width="10.140625" style="119" customWidth="1"/>
    <col min="12" max="12" width="12.7109375" style="119" hidden="1" customWidth="1"/>
    <col min="13" max="13" width="11.42578125" style="119" customWidth="1"/>
    <col min="14" max="15" width="12.28515625" style="119" customWidth="1"/>
    <col min="16" max="16" width="10.28515625" style="119" customWidth="1"/>
    <col min="17" max="17" width="11.7109375" style="119" customWidth="1"/>
    <col min="18" max="256" width="9.140625" style="119"/>
    <col min="257" max="257" width="4.28515625" style="119" customWidth="1"/>
    <col min="258" max="258" width="8.85546875" style="119" customWidth="1"/>
    <col min="259" max="259" width="60.5703125" style="119" customWidth="1"/>
    <col min="260" max="260" width="5.85546875" style="119" customWidth="1"/>
    <col min="261" max="261" width="0" style="119" hidden="1" customWidth="1"/>
    <col min="262" max="262" width="10" style="119" customWidth="1"/>
    <col min="263" max="263" width="9.85546875" style="119" customWidth="1"/>
    <col min="264" max="264" width="0" style="119" hidden="1" customWidth="1"/>
    <col min="265" max="265" width="9.85546875" style="119" customWidth="1"/>
    <col min="266" max="266" width="10.7109375" style="119" customWidth="1"/>
    <col min="267" max="267" width="10" style="119" bestFit="1" customWidth="1"/>
    <col min="268" max="269" width="9.42578125" style="119" customWidth="1"/>
    <col min="270" max="512" width="9.140625" style="119"/>
    <col min="513" max="513" width="4.28515625" style="119" customWidth="1"/>
    <col min="514" max="514" width="8.85546875" style="119" customWidth="1"/>
    <col min="515" max="515" width="60.5703125" style="119" customWidth="1"/>
    <col min="516" max="516" width="5.85546875" style="119" customWidth="1"/>
    <col min="517" max="517" width="0" style="119" hidden="1" customWidth="1"/>
    <col min="518" max="518" width="10" style="119" customWidth="1"/>
    <col min="519" max="519" width="9.85546875" style="119" customWidth="1"/>
    <col min="520" max="520" width="0" style="119" hidden="1" customWidth="1"/>
    <col min="521" max="521" width="9.85546875" style="119" customWidth="1"/>
    <col min="522" max="522" width="10.7109375" style="119" customWidth="1"/>
    <col min="523" max="523" width="10" style="119" bestFit="1" customWidth="1"/>
    <col min="524" max="525" width="9.42578125" style="119" customWidth="1"/>
    <col min="526" max="768" width="9.140625" style="119"/>
    <col min="769" max="769" width="4.28515625" style="119" customWidth="1"/>
    <col min="770" max="770" width="8.85546875" style="119" customWidth="1"/>
    <col min="771" max="771" width="60.5703125" style="119" customWidth="1"/>
    <col min="772" max="772" width="5.85546875" style="119" customWidth="1"/>
    <col min="773" max="773" width="0" style="119" hidden="1" customWidth="1"/>
    <col min="774" max="774" width="10" style="119" customWidth="1"/>
    <col min="775" max="775" width="9.85546875" style="119" customWidth="1"/>
    <col min="776" max="776" width="0" style="119" hidden="1" customWidth="1"/>
    <col min="777" max="777" width="9.85546875" style="119" customWidth="1"/>
    <col min="778" max="778" width="10.7109375" style="119" customWidth="1"/>
    <col min="779" max="779" width="10" style="119" bestFit="1" customWidth="1"/>
    <col min="780" max="781" width="9.42578125" style="119" customWidth="1"/>
    <col min="782" max="1024" width="9.140625" style="119"/>
    <col min="1025" max="1025" width="4.28515625" style="119" customWidth="1"/>
    <col min="1026" max="1026" width="8.85546875" style="119" customWidth="1"/>
    <col min="1027" max="1027" width="60.5703125" style="119" customWidth="1"/>
    <col min="1028" max="1028" width="5.85546875" style="119" customWidth="1"/>
    <col min="1029" max="1029" width="0" style="119" hidden="1" customWidth="1"/>
    <col min="1030" max="1030" width="10" style="119" customWidth="1"/>
    <col min="1031" max="1031" width="9.85546875" style="119" customWidth="1"/>
    <col min="1032" max="1032" width="0" style="119" hidden="1" customWidth="1"/>
    <col min="1033" max="1033" width="9.85546875" style="119" customWidth="1"/>
    <col min="1034" max="1034" width="10.7109375" style="119" customWidth="1"/>
    <col min="1035" max="1035" width="10" style="119" bestFit="1" customWidth="1"/>
    <col min="1036" max="1037" width="9.42578125" style="119" customWidth="1"/>
    <col min="1038" max="1280" width="9.140625" style="119"/>
    <col min="1281" max="1281" width="4.28515625" style="119" customWidth="1"/>
    <col min="1282" max="1282" width="8.85546875" style="119" customWidth="1"/>
    <col min="1283" max="1283" width="60.5703125" style="119" customWidth="1"/>
    <col min="1284" max="1284" width="5.85546875" style="119" customWidth="1"/>
    <col min="1285" max="1285" width="0" style="119" hidden="1" customWidth="1"/>
    <col min="1286" max="1286" width="10" style="119" customWidth="1"/>
    <col min="1287" max="1287" width="9.85546875" style="119" customWidth="1"/>
    <col min="1288" max="1288" width="0" style="119" hidden="1" customWidth="1"/>
    <col min="1289" max="1289" width="9.85546875" style="119" customWidth="1"/>
    <col min="1290" max="1290" width="10.7109375" style="119" customWidth="1"/>
    <col min="1291" max="1291" width="10" style="119" bestFit="1" customWidth="1"/>
    <col min="1292" max="1293" width="9.42578125" style="119" customWidth="1"/>
    <col min="1294" max="1536" width="9.140625" style="119"/>
    <col min="1537" max="1537" width="4.28515625" style="119" customWidth="1"/>
    <col min="1538" max="1538" width="8.85546875" style="119" customWidth="1"/>
    <col min="1539" max="1539" width="60.5703125" style="119" customWidth="1"/>
    <col min="1540" max="1540" width="5.85546875" style="119" customWidth="1"/>
    <col min="1541" max="1541" width="0" style="119" hidden="1" customWidth="1"/>
    <col min="1542" max="1542" width="10" style="119" customWidth="1"/>
    <col min="1543" max="1543" width="9.85546875" style="119" customWidth="1"/>
    <col min="1544" max="1544" width="0" style="119" hidden="1" customWidth="1"/>
    <col min="1545" max="1545" width="9.85546875" style="119" customWidth="1"/>
    <col min="1546" max="1546" width="10.7109375" style="119" customWidth="1"/>
    <col min="1547" max="1547" width="10" style="119" bestFit="1" customWidth="1"/>
    <col min="1548" max="1549" width="9.42578125" style="119" customWidth="1"/>
    <col min="1550" max="1792" width="9.140625" style="119"/>
    <col min="1793" max="1793" width="4.28515625" style="119" customWidth="1"/>
    <col min="1794" max="1794" width="8.85546875" style="119" customWidth="1"/>
    <col min="1795" max="1795" width="60.5703125" style="119" customWidth="1"/>
    <col min="1796" max="1796" width="5.85546875" style="119" customWidth="1"/>
    <col min="1797" max="1797" width="0" style="119" hidden="1" customWidth="1"/>
    <col min="1798" max="1798" width="10" style="119" customWidth="1"/>
    <col min="1799" max="1799" width="9.85546875" style="119" customWidth="1"/>
    <col min="1800" max="1800" width="0" style="119" hidden="1" customWidth="1"/>
    <col min="1801" max="1801" width="9.85546875" style="119" customWidth="1"/>
    <col min="1802" max="1802" width="10.7109375" style="119" customWidth="1"/>
    <col min="1803" max="1803" width="10" style="119" bestFit="1" customWidth="1"/>
    <col min="1804" max="1805" width="9.42578125" style="119" customWidth="1"/>
    <col min="1806" max="2048" width="9.140625" style="119"/>
    <col min="2049" max="2049" width="4.28515625" style="119" customWidth="1"/>
    <col min="2050" max="2050" width="8.85546875" style="119" customWidth="1"/>
    <col min="2051" max="2051" width="60.5703125" style="119" customWidth="1"/>
    <col min="2052" max="2052" width="5.85546875" style="119" customWidth="1"/>
    <col min="2053" max="2053" width="0" style="119" hidden="1" customWidth="1"/>
    <col min="2054" max="2054" width="10" style="119" customWidth="1"/>
    <col min="2055" max="2055" width="9.85546875" style="119" customWidth="1"/>
    <col min="2056" max="2056" width="0" style="119" hidden="1" customWidth="1"/>
    <col min="2057" max="2057" width="9.85546875" style="119" customWidth="1"/>
    <col min="2058" max="2058" width="10.7109375" style="119" customWidth="1"/>
    <col min="2059" max="2059" width="10" style="119" bestFit="1" customWidth="1"/>
    <col min="2060" max="2061" width="9.42578125" style="119" customWidth="1"/>
    <col min="2062" max="2304" width="9.140625" style="119"/>
    <col min="2305" max="2305" width="4.28515625" style="119" customWidth="1"/>
    <col min="2306" max="2306" width="8.85546875" style="119" customWidth="1"/>
    <col min="2307" max="2307" width="60.5703125" style="119" customWidth="1"/>
    <col min="2308" max="2308" width="5.85546875" style="119" customWidth="1"/>
    <col min="2309" max="2309" width="0" style="119" hidden="1" customWidth="1"/>
    <col min="2310" max="2310" width="10" style="119" customWidth="1"/>
    <col min="2311" max="2311" width="9.85546875" style="119" customWidth="1"/>
    <col min="2312" max="2312" width="0" style="119" hidden="1" customWidth="1"/>
    <col min="2313" max="2313" width="9.85546875" style="119" customWidth="1"/>
    <col min="2314" max="2314" width="10.7109375" style="119" customWidth="1"/>
    <col min="2315" max="2315" width="10" style="119" bestFit="1" customWidth="1"/>
    <col min="2316" max="2317" width="9.42578125" style="119" customWidth="1"/>
    <col min="2318" max="2560" width="9.140625" style="119"/>
    <col min="2561" max="2561" width="4.28515625" style="119" customWidth="1"/>
    <col min="2562" max="2562" width="8.85546875" style="119" customWidth="1"/>
    <col min="2563" max="2563" width="60.5703125" style="119" customWidth="1"/>
    <col min="2564" max="2564" width="5.85546875" style="119" customWidth="1"/>
    <col min="2565" max="2565" width="0" style="119" hidden="1" customWidth="1"/>
    <col min="2566" max="2566" width="10" style="119" customWidth="1"/>
    <col min="2567" max="2567" width="9.85546875" style="119" customWidth="1"/>
    <col min="2568" max="2568" width="0" style="119" hidden="1" customWidth="1"/>
    <col min="2569" max="2569" width="9.85546875" style="119" customWidth="1"/>
    <col min="2570" max="2570" width="10.7109375" style="119" customWidth="1"/>
    <col min="2571" max="2571" width="10" style="119" bestFit="1" customWidth="1"/>
    <col min="2572" max="2573" width="9.42578125" style="119" customWidth="1"/>
    <col min="2574" max="2816" width="9.140625" style="119"/>
    <col min="2817" max="2817" width="4.28515625" style="119" customWidth="1"/>
    <col min="2818" max="2818" width="8.85546875" style="119" customWidth="1"/>
    <col min="2819" max="2819" width="60.5703125" style="119" customWidth="1"/>
    <col min="2820" max="2820" width="5.85546875" style="119" customWidth="1"/>
    <col min="2821" max="2821" width="0" style="119" hidden="1" customWidth="1"/>
    <col min="2822" max="2822" width="10" style="119" customWidth="1"/>
    <col min="2823" max="2823" width="9.85546875" style="119" customWidth="1"/>
    <col min="2824" max="2824" width="0" style="119" hidden="1" customWidth="1"/>
    <col min="2825" max="2825" width="9.85546875" style="119" customWidth="1"/>
    <col min="2826" max="2826" width="10.7109375" style="119" customWidth="1"/>
    <col min="2827" max="2827" width="10" style="119" bestFit="1" customWidth="1"/>
    <col min="2828" max="2829" width="9.42578125" style="119" customWidth="1"/>
    <col min="2830" max="3072" width="9.140625" style="119"/>
    <col min="3073" max="3073" width="4.28515625" style="119" customWidth="1"/>
    <col min="3074" max="3074" width="8.85546875" style="119" customWidth="1"/>
    <col min="3075" max="3075" width="60.5703125" style="119" customWidth="1"/>
    <col min="3076" max="3076" width="5.85546875" style="119" customWidth="1"/>
    <col min="3077" max="3077" width="0" style="119" hidden="1" customWidth="1"/>
    <col min="3078" max="3078" width="10" style="119" customWidth="1"/>
    <col min="3079" max="3079" width="9.85546875" style="119" customWidth="1"/>
    <col min="3080" max="3080" width="0" style="119" hidden="1" customWidth="1"/>
    <col min="3081" max="3081" width="9.85546875" style="119" customWidth="1"/>
    <col min="3082" max="3082" width="10.7109375" style="119" customWidth="1"/>
    <col min="3083" max="3083" width="10" style="119" bestFit="1" customWidth="1"/>
    <col min="3084" max="3085" width="9.42578125" style="119" customWidth="1"/>
    <col min="3086" max="3328" width="9.140625" style="119"/>
    <col min="3329" max="3329" width="4.28515625" style="119" customWidth="1"/>
    <col min="3330" max="3330" width="8.85546875" style="119" customWidth="1"/>
    <col min="3331" max="3331" width="60.5703125" style="119" customWidth="1"/>
    <col min="3332" max="3332" width="5.85546875" style="119" customWidth="1"/>
    <col min="3333" max="3333" width="0" style="119" hidden="1" customWidth="1"/>
    <col min="3334" max="3334" width="10" style="119" customWidth="1"/>
    <col min="3335" max="3335" width="9.85546875" style="119" customWidth="1"/>
    <col min="3336" max="3336" width="0" style="119" hidden="1" customWidth="1"/>
    <col min="3337" max="3337" width="9.85546875" style="119" customWidth="1"/>
    <col min="3338" max="3338" width="10.7109375" style="119" customWidth="1"/>
    <col min="3339" max="3339" width="10" style="119" bestFit="1" customWidth="1"/>
    <col min="3340" max="3341" width="9.42578125" style="119" customWidth="1"/>
    <col min="3342" max="3584" width="9.140625" style="119"/>
    <col min="3585" max="3585" width="4.28515625" style="119" customWidth="1"/>
    <col min="3586" max="3586" width="8.85546875" style="119" customWidth="1"/>
    <col min="3587" max="3587" width="60.5703125" style="119" customWidth="1"/>
    <col min="3588" max="3588" width="5.85546875" style="119" customWidth="1"/>
    <col min="3589" max="3589" width="0" style="119" hidden="1" customWidth="1"/>
    <col min="3590" max="3590" width="10" style="119" customWidth="1"/>
    <col min="3591" max="3591" width="9.85546875" style="119" customWidth="1"/>
    <col min="3592" max="3592" width="0" style="119" hidden="1" customWidth="1"/>
    <col min="3593" max="3593" width="9.85546875" style="119" customWidth="1"/>
    <col min="3594" max="3594" width="10.7109375" style="119" customWidth="1"/>
    <col min="3595" max="3595" width="10" style="119" bestFit="1" customWidth="1"/>
    <col min="3596" max="3597" width="9.42578125" style="119" customWidth="1"/>
    <col min="3598" max="3840" width="9.140625" style="119"/>
    <col min="3841" max="3841" width="4.28515625" style="119" customWidth="1"/>
    <col min="3842" max="3842" width="8.85546875" style="119" customWidth="1"/>
    <col min="3843" max="3843" width="60.5703125" style="119" customWidth="1"/>
    <col min="3844" max="3844" width="5.85546875" style="119" customWidth="1"/>
    <col min="3845" max="3845" width="0" style="119" hidden="1" customWidth="1"/>
    <col min="3846" max="3846" width="10" style="119" customWidth="1"/>
    <col min="3847" max="3847" width="9.85546875" style="119" customWidth="1"/>
    <col min="3848" max="3848" width="0" style="119" hidden="1" customWidth="1"/>
    <col min="3849" max="3849" width="9.85546875" style="119" customWidth="1"/>
    <col min="3850" max="3850" width="10.7109375" style="119" customWidth="1"/>
    <col min="3851" max="3851" width="10" style="119" bestFit="1" customWidth="1"/>
    <col min="3852" max="3853" width="9.42578125" style="119" customWidth="1"/>
    <col min="3854" max="4096" width="9.140625" style="119"/>
    <col min="4097" max="4097" width="4.28515625" style="119" customWidth="1"/>
    <col min="4098" max="4098" width="8.85546875" style="119" customWidth="1"/>
    <col min="4099" max="4099" width="60.5703125" style="119" customWidth="1"/>
    <col min="4100" max="4100" width="5.85546875" style="119" customWidth="1"/>
    <col min="4101" max="4101" width="0" style="119" hidden="1" customWidth="1"/>
    <col min="4102" max="4102" width="10" style="119" customWidth="1"/>
    <col min="4103" max="4103" width="9.85546875" style="119" customWidth="1"/>
    <col min="4104" max="4104" width="0" style="119" hidden="1" customWidth="1"/>
    <col min="4105" max="4105" width="9.85546875" style="119" customWidth="1"/>
    <col min="4106" max="4106" width="10.7109375" style="119" customWidth="1"/>
    <col min="4107" max="4107" width="10" style="119" bestFit="1" customWidth="1"/>
    <col min="4108" max="4109" width="9.42578125" style="119" customWidth="1"/>
    <col min="4110" max="4352" width="9.140625" style="119"/>
    <col min="4353" max="4353" width="4.28515625" style="119" customWidth="1"/>
    <col min="4354" max="4354" width="8.85546875" style="119" customWidth="1"/>
    <col min="4355" max="4355" width="60.5703125" style="119" customWidth="1"/>
    <col min="4356" max="4356" width="5.85546875" style="119" customWidth="1"/>
    <col min="4357" max="4357" width="0" style="119" hidden="1" customWidth="1"/>
    <col min="4358" max="4358" width="10" style="119" customWidth="1"/>
    <col min="4359" max="4359" width="9.85546875" style="119" customWidth="1"/>
    <col min="4360" max="4360" width="0" style="119" hidden="1" customWidth="1"/>
    <col min="4361" max="4361" width="9.85546875" style="119" customWidth="1"/>
    <col min="4362" max="4362" width="10.7109375" style="119" customWidth="1"/>
    <col min="4363" max="4363" width="10" style="119" bestFit="1" customWidth="1"/>
    <col min="4364" max="4365" width="9.42578125" style="119" customWidth="1"/>
    <col min="4366" max="4608" width="9.140625" style="119"/>
    <col min="4609" max="4609" width="4.28515625" style="119" customWidth="1"/>
    <col min="4610" max="4610" width="8.85546875" style="119" customWidth="1"/>
    <col min="4611" max="4611" width="60.5703125" style="119" customWidth="1"/>
    <col min="4612" max="4612" width="5.85546875" style="119" customWidth="1"/>
    <col min="4613" max="4613" width="0" style="119" hidden="1" customWidth="1"/>
    <col min="4614" max="4614" width="10" style="119" customWidth="1"/>
    <col min="4615" max="4615" width="9.85546875" style="119" customWidth="1"/>
    <col min="4616" max="4616" width="0" style="119" hidden="1" customWidth="1"/>
    <col min="4617" max="4617" width="9.85546875" style="119" customWidth="1"/>
    <col min="4618" max="4618" width="10.7109375" style="119" customWidth="1"/>
    <col min="4619" max="4619" width="10" style="119" bestFit="1" customWidth="1"/>
    <col min="4620" max="4621" width="9.42578125" style="119" customWidth="1"/>
    <col min="4622" max="4864" width="9.140625" style="119"/>
    <col min="4865" max="4865" width="4.28515625" style="119" customWidth="1"/>
    <col min="4866" max="4866" width="8.85546875" style="119" customWidth="1"/>
    <col min="4867" max="4867" width="60.5703125" style="119" customWidth="1"/>
    <col min="4868" max="4868" width="5.85546875" style="119" customWidth="1"/>
    <col min="4869" max="4869" width="0" style="119" hidden="1" customWidth="1"/>
    <col min="4870" max="4870" width="10" style="119" customWidth="1"/>
    <col min="4871" max="4871" width="9.85546875" style="119" customWidth="1"/>
    <col min="4872" max="4872" width="0" style="119" hidden="1" customWidth="1"/>
    <col min="4873" max="4873" width="9.85546875" style="119" customWidth="1"/>
    <col min="4874" max="4874" width="10.7109375" style="119" customWidth="1"/>
    <col min="4875" max="4875" width="10" style="119" bestFit="1" customWidth="1"/>
    <col min="4876" max="4877" width="9.42578125" style="119" customWidth="1"/>
    <col min="4878" max="5120" width="9.140625" style="119"/>
    <col min="5121" max="5121" width="4.28515625" style="119" customWidth="1"/>
    <col min="5122" max="5122" width="8.85546875" style="119" customWidth="1"/>
    <col min="5123" max="5123" width="60.5703125" style="119" customWidth="1"/>
    <col min="5124" max="5124" width="5.85546875" style="119" customWidth="1"/>
    <col min="5125" max="5125" width="0" style="119" hidden="1" customWidth="1"/>
    <col min="5126" max="5126" width="10" style="119" customWidth="1"/>
    <col min="5127" max="5127" width="9.85546875" style="119" customWidth="1"/>
    <col min="5128" max="5128" width="0" style="119" hidden="1" customWidth="1"/>
    <col min="5129" max="5129" width="9.85546875" style="119" customWidth="1"/>
    <col min="5130" max="5130" width="10.7109375" style="119" customWidth="1"/>
    <col min="5131" max="5131" width="10" style="119" bestFit="1" customWidth="1"/>
    <col min="5132" max="5133" width="9.42578125" style="119" customWidth="1"/>
    <col min="5134" max="5376" width="9.140625" style="119"/>
    <col min="5377" max="5377" width="4.28515625" style="119" customWidth="1"/>
    <col min="5378" max="5378" width="8.85546875" style="119" customWidth="1"/>
    <col min="5379" max="5379" width="60.5703125" style="119" customWidth="1"/>
    <col min="5380" max="5380" width="5.85546875" style="119" customWidth="1"/>
    <col min="5381" max="5381" width="0" style="119" hidden="1" customWidth="1"/>
    <col min="5382" max="5382" width="10" style="119" customWidth="1"/>
    <col min="5383" max="5383" width="9.85546875" style="119" customWidth="1"/>
    <col min="5384" max="5384" width="0" style="119" hidden="1" customWidth="1"/>
    <col min="5385" max="5385" width="9.85546875" style="119" customWidth="1"/>
    <col min="5386" max="5386" width="10.7109375" style="119" customWidth="1"/>
    <col min="5387" max="5387" width="10" style="119" bestFit="1" customWidth="1"/>
    <col min="5388" max="5389" width="9.42578125" style="119" customWidth="1"/>
    <col min="5390" max="5632" width="9.140625" style="119"/>
    <col min="5633" max="5633" width="4.28515625" style="119" customWidth="1"/>
    <col min="5634" max="5634" width="8.85546875" style="119" customWidth="1"/>
    <col min="5635" max="5635" width="60.5703125" style="119" customWidth="1"/>
    <col min="5636" max="5636" width="5.85546875" style="119" customWidth="1"/>
    <col min="5637" max="5637" width="0" style="119" hidden="1" customWidth="1"/>
    <col min="5638" max="5638" width="10" style="119" customWidth="1"/>
    <col min="5639" max="5639" width="9.85546875" style="119" customWidth="1"/>
    <col min="5640" max="5640" width="0" style="119" hidden="1" customWidth="1"/>
    <col min="5641" max="5641" width="9.85546875" style="119" customWidth="1"/>
    <col min="5642" max="5642" width="10.7109375" style="119" customWidth="1"/>
    <col min="5643" max="5643" width="10" style="119" bestFit="1" customWidth="1"/>
    <col min="5644" max="5645" width="9.42578125" style="119" customWidth="1"/>
    <col min="5646" max="5888" width="9.140625" style="119"/>
    <col min="5889" max="5889" width="4.28515625" style="119" customWidth="1"/>
    <col min="5890" max="5890" width="8.85546875" style="119" customWidth="1"/>
    <col min="5891" max="5891" width="60.5703125" style="119" customWidth="1"/>
    <col min="5892" max="5892" width="5.85546875" style="119" customWidth="1"/>
    <col min="5893" max="5893" width="0" style="119" hidden="1" customWidth="1"/>
    <col min="5894" max="5894" width="10" style="119" customWidth="1"/>
    <col min="5895" max="5895" width="9.85546875" style="119" customWidth="1"/>
    <col min="5896" max="5896" width="0" style="119" hidden="1" customWidth="1"/>
    <col min="5897" max="5897" width="9.85546875" style="119" customWidth="1"/>
    <col min="5898" max="5898" width="10.7109375" style="119" customWidth="1"/>
    <col min="5899" max="5899" width="10" style="119" bestFit="1" customWidth="1"/>
    <col min="5900" max="5901" width="9.42578125" style="119" customWidth="1"/>
    <col min="5902" max="6144" width="9.140625" style="119"/>
    <col min="6145" max="6145" width="4.28515625" style="119" customWidth="1"/>
    <col min="6146" max="6146" width="8.85546875" style="119" customWidth="1"/>
    <col min="6147" max="6147" width="60.5703125" style="119" customWidth="1"/>
    <col min="6148" max="6148" width="5.85546875" style="119" customWidth="1"/>
    <col min="6149" max="6149" width="0" style="119" hidden="1" customWidth="1"/>
    <col min="6150" max="6150" width="10" style="119" customWidth="1"/>
    <col min="6151" max="6151" width="9.85546875" style="119" customWidth="1"/>
    <col min="6152" max="6152" width="0" style="119" hidden="1" customWidth="1"/>
    <col min="6153" max="6153" width="9.85546875" style="119" customWidth="1"/>
    <col min="6154" max="6154" width="10.7109375" style="119" customWidth="1"/>
    <col min="6155" max="6155" width="10" style="119" bestFit="1" customWidth="1"/>
    <col min="6156" max="6157" width="9.42578125" style="119" customWidth="1"/>
    <col min="6158" max="6400" width="9.140625" style="119"/>
    <col min="6401" max="6401" width="4.28515625" style="119" customWidth="1"/>
    <col min="6402" max="6402" width="8.85546875" style="119" customWidth="1"/>
    <col min="6403" max="6403" width="60.5703125" style="119" customWidth="1"/>
    <col min="6404" max="6404" width="5.85546875" style="119" customWidth="1"/>
    <col min="6405" max="6405" width="0" style="119" hidden="1" customWidth="1"/>
    <col min="6406" max="6406" width="10" style="119" customWidth="1"/>
    <col min="6407" max="6407" width="9.85546875" style="119" customWidth="1"/>
    <col min="6408" max="6408" width="0" style="119" hidden="1" customWidth="1"/>
    <col min="6409" max="6409" width="9.85546875" style="119" customWidth="1"/>
    <col min="6410" max="6410" width="10.7109375" style="119" customWidth="1"/>
    <col min="6411" max="6411" width="10" style="119" bestFit="1" customWidth="1"/>
    <col min="6412" max="6413" width="9.42578125" style="119" customWidth="1"/>
    <col min="6414" max="6656" width="9.140625" style="119"/>
    <col min="6657" max="6657" width="4.28515625" style="119" customWidth="1"/>
    <col min="6658" max="6658" width="8.85546875" style="119" customWidth="1"/>
    <col min="6659" max="6659" width="60.5703125" style="119" customWidth="1"/>
    <col min="6660" max="6660" width="5.85546875" style="119" customWidth="1"/>
    <col min="6661" max="6661" width="0" style="119" hidden="1" customWidth="1"/>
    <col min="6662" max="6662" width="10" style="119" customWidth="1"/>
    <col min="6663" max="6663" width="9.85546875" style="119" customWidth="1"/>
    <col min="6664" max="6664" width="0" style="119" hidden="1" customWidth="1"/>
    <col min="6665" max="6665" width="9.85546875" style="119" customWidth="1"/>
    <col min="6666" max="6666" width="10.7109375" style="119" customWidth="1"/>
    <col min="6667" max="6667" width="10" style="119" bestFit="1" customWidth="1"/>
    <col min="6668" max="6669" width="9.42578125" style="119" customWidth="1"/>
    <col min="6670" max="6912" width="9.140625" style="119"/>
    <col min="6913" max="6913" width="4.28515625" style="119" customWidth="1"/>
    <col min="6914" max="6914" width="8.85546875" style="119" customWidth="1"/>
    <col min="6915" max="6915" width="60.5703125" style="119" customWidth="1"/>
    <col min="6916" max="6916" width="5.85546875" style="119" customWidth="1"/>
    <col min="6917" max="6917" width="0" style="119" hidden="1" customWidth="1"/>
    <col min="6918" max="6918" width="10" style="119" customWidth="1"/>
    <col min="6919" max="6919" width="9.85546875" style="119" customWidth="1"/>
    <col min="6920" max="6920" width="0" style="119" hidden="1" customWidth="1"/>
    <col min="6921" max="6921" width="9.85546875" style="119" customWidth="1"/>
    <col min="6922" max="6922" width="10.7109375" style="119" customWidth="1"/>
    <col min="6923" max="6923" width="10" style="119" bestFit="1" customWidth="1"/>
    <col min="6924" max="6925" width="9.42578125" style="119" customWidth="1"/>
    <col min="6926" max="7168" width="9.140625" style="119"/>
    <col min="7169" max="7169" width="4.28515625" style="119" customWidth="1"/>
    <col min="7170" max="7170" width="8.85546875" style="119" customWidth="1"/>
    <col min="7171" max="7171" width="60.5703125" style="119" customWidth="1"/>
    <col min="7172" max="7172" width="5.85546875" style="119" customWidth="1"/>
    <col min="7173" max="7173" width="0" style="119" hidden="1" customWidth="1"/>
    <col min="7174" max="7174" width="10" style="119" customWidth="1"/>
    <col min="7175" max="7175" width="9.85546875" style="119" customWidth="1"/>
    <col min="7176" max="7176" width="0" style="119" hidden="1" customWidth="1"/>
    <col min="7177" max="7177" width="9.85546875" style="119" customWidth="1"/>
    <col min="7178" max="7178" width="10.7109375" style="119" customWidth="1"/>
    <col min="7179" max="7179" width="10" style="119" bestFit="1" customWidth="1"/>
    <col min="7180" max="7181" width="9.42578125" style="119" customWidth="1"/>
    <col min="7182" max="7424" width="9.140625" style="119"/>
    <col min="7425" max="7425" width="4.28515625" style="119" customWidth="1"/>
    <col min="7426" max="7426" width="8.85546875" style="119" customWidth="1"/>
    <col min="7427" max="7427" width="60.5703125" style="119" customWidth="1"/>
    <col min="7428" max="7428" width="5.85546875" style="119" customWidth="1"/>
    <col min="7429" max="7429" width="0" style="119" hidden="1" customWidth="1"/>
    <col min="7430" max="7430" width="10" style="119" customWidth="1"/>
    <col min="7431" max="7431" width="9.85546875" style="119" customWidth="1"/>
    <col min="7432" max="7432" width="0" style="119" hidden="1" customWidth="1"/>
    <col min="7433" max="7433" width="9.85546875" style="119" customWidth="1"/>
    <col min="7434" max="7434" width="10.7109375" style="119" customWidth="1"/>
    <col min="7435" max="7435" width="10" style="119" bestFit="1" customWidth="1"/>
    <col min="7436" max="7437" width="9.42578125" style="119" customWidth="1"/>
    <col min="7438" max="7680" width="9.140625" style="119"/>
    <col min="7681" max="7681" width="4.28515625" style="119" customWidth="1"/>
    <col min="7682" max="7682" width="8.85546875" style="119" customWidth="1"/>
    <col min="7683" max="7683" width="60.5703125" style="119" customWidth="1"/>
    <col min="7684" max="7684" width="5.85546875" style="119" customWidth="1"/>
    <col min="7685" max="7685" width="0" style="119" hidden="1" customWidth="1"/>
    <col min="7686" max="7686" width="10" style="119" customWidth="1"/>
    <col min="7687" max="7687" width="9.85546875" style="119" customWidth="1"/>
    <col min="7688" max="7688" width="0" style="119" hidden="1" customWidth="1"/>
    <col min="7689" max="7689" width="9.85546875" style="119" customWidth="1"/>
    <col min="7690" max="7690" width="10.7109375" style="119" customWidth="1"/>
    <col min="7691" max="7691" width="10" style="119" bestFit="1" customWidth="1"/>
    <col min="7692" max="7693" width="9.42578125" style="119" customWidth="1"/>
    <col min="7694" max="7936" width="9.140625" style="119"/>
    <col min="7937" max="7937" width="4.28515625" style="119" customWidth="1"/>
    <col min="7938" max="7938" width="8.85546875" style="119" customWidth="1"/>
    <col min="7939" max="7939" width="60.5703125" style="119" customWidth="1"/>
    <col min="7940" max="7940" width="5.85546875" style="119" customWidth="1"/>
    <col min="7941" max="7941" width="0" style="119" hidden="1" customWidth="1"/>
    <col min="7942" max="7942" width="10" style="119" customWidth="1"/>
    <col min="7943" max="7943" width="9.85546875" style="119" customWidth="1"/>
    <col min="7944" max="7944" width="0" style="119" hidden="1" customWidth="1"/>
    <col min="7945" max="7945" width="9.85546875" style="119" customWidth="1"/>
    <col min="7946" max="7946" width="10.7109375" style="119" customWidth="1"/>
    <col min="7947" max="7947" width="10" style="119" bestFit="1" customWidth="1"/>
    <col min="7948" max="7949" width="9.42578125" style="119" customWidth="1"/>
    <col min="7950" max="8192" width="9.140625" style="119"/>
    <col min="8193" max="8193" width="4.28515625" style="119" customWidth="1"/>
    <col min="8194" max="8194" width="8.85546875" style="119" customWidth="1"/>
    <col min="8195" max="8195" width="60.5703125" style="119" customWidth="1"/>
    <col min="8196" max="8196" width="5.85546875" style="119" customWidth="1"/>
    <col min="8197" max="8197" width="0" style="119" hidden="1" customWidth="1"/>
    <col min="8198" max="8198" width="10" style="119" customWidth="1"/>
    <col min="8199" max="8199" width="9.85546875" style="119" customWidth="1"/>
    <col min="8200" max="8200" width="0" style="119" hidden="1" customWidth="1"/>
    <col min="8201" max="8201" width="9.85546875" style="119" customWidth="1"/>
    <col min="8202" max="8202" width="10.7109375" style="119" customWidth="1"/>
    <col min="8203" max="8203" width="10" style="119" bestFit="1" customWidth="1"/>
    <col min="8204" max="8205" width="9.42578125" style="119" customWidth="1"/>
    <col min="8206" max="8448" width="9.140625" style="119"/>
    <col min="8449" max="8449" width="4.28515625" style="119" customWidth="1"/>
    <col min="8450" max="8450" width="8.85546875" style="119" customWidth="1"/>
    <col min="8451" max="8451" width="60.5703125" style="119" customWidth="1"/>
    <col min="8452" max="8452" width="5.85546875" style="119" customWidth="1"/>
    <col min="8453" max="8453" width="0" style="119" hidden="1" customWidth="1"/>
    <col min="8454" max="8454" width="10" style="119" customWidth="1"/>
    <col min="8455" max="8455" width="9.85546875" style="119" customWidth="1"/>
    <col min="8456" max="8456" width="0" style="119" hidden="1" customWidth="1"/>
    <col min="8457" max="8457" width="9.85546875" style="119" customWidth="1"/>
    <col min="8458" max="8458" width="10.7109375" style="119" customWidth="1"/>
    <col min="8459" max="8459" width="10" style="119" bestFit="1" customWidth="1"/>
    <col min="8460" max="8461" width="9.42578125" style="119" customWidth="1"/>
    <col min="8462" max="8704" width="9.140625" style="119"/>
    <col min="8705" max="8705" width="4.28515625" style="119" customWidth="1"/>
    <col min="8706" max="8706" width="8.85546875" style="119" customWidth="1"/>
    <col min="8707" max="8707" width="60.5703125" style="119" customWidth="1"/>
    <col min="8708" max="8708" width="5.85546875" style="119" customWidth="1"/>
    <col min="8709" max="8709" width="0" style="119" hidden="1" customWidth="1"/>
    <col min="8710" max="8710" width="10" style="119" customWidth="1"/>
    <col min="8711" max="8711" width="9.85546875" style="119" customWidth="1"/>
    <col min="8712" max="8712" width="0" style="119" hidden="1" customWidth="1"/>
    <col min="8713" max="8713" width="9.85546875" style="119" customWidth="1"/>
    <col min="8714" max="8714" width="10.7109375" style="119" customWidth="1"/>
    <col min="8715" max="8715" width="10" style="119" bestFit="1" customWidth="1"/>
    <col min="8716" max="8717" width="9.42578125" style="119" customWidth="1"/>
    <col min="8718" max="8960" width="9.140625" style="119"/>
    <col min="8961" max="8961" width="4.28515625" style="119" customWidth="1"/>
    <col min="8962" max="8962" width="8.85546875" style="119" customWidth="1"/>
    <col min="8963" max="8963" width="60.5703125" style="119" customWidth="1"/>
    <col min="8964" max="8964" width="5.85546875" style="119" customWidth="1"/>
    <col min="8965" max="8965" width="0" style="119" hidden="1" customWidth="1"/>
    <col min="8966" max="8966" width="10" style="119" customWidth="1"/>
    <col min="8967" max="8967" width="9.85546875" style="119" customWidth="1"/>
    <col min="8968" max="8968" width="0" style="119" hidden="1" customWidth="1"/>
    <col min="8969" max="8969" width="9.85546875" style="119" customWidth="1"/>
    <col min="8970" max="8970" width="10.7109375" style="119" customWidth="1"/>
    <col min="8971" max="8971" width="10" style="119" bestFit="1" customWidth="1"/>
    <col min="8972" max="8973" width="9.42578125" style="119" customWidth="1"/>
    <col min="8974" max="9216" width="9.140625" style="119"/>
    <col min="9217" max="9217" width="4.28515625" style="119" customWidth="1"/>
    <col min="9218" max="9218" width="8.85546875" style="119" customWidth="1"/>
    <col min="9219" max="9219" width="60.5703125" style="119" customWidth="1"/>
    <col min="9220" max="9220" width="5.85546875" style="119" customWidth="1"/>
    <col min="9221" max="9221" width="0" style="119" hidden="1" customWidth="1"/>
    <col min="9222" max="9222" width="10" style="119" customWidth="1"/>
    <col min="9223" max="9223" width="9.85546875" style="119" customWidth="1"/>
    <col min="9224" max="9224" width="0" style="119" hidden="1" customWidth="1"/>
    <col min="9225" max="9225" width="9.85546875" style="119" customWidth="1"/>
    <col min="9226" max="9226" width="10.7109375" style="119" customWidth="1"/>
    <col min="9227" max="9227" width="10" style="119" bestFit="1" customWidth="1"/>
    <col min="9228" max="9229" width="9.42578125" style="119" customWidth="1"/>
    <col min="9230" max="9472" width="9.140625" style="119"/>
    <col min="9473" max="9473" width="4.28515625" style="119" customWidth="1"/>
    <col min="9474" max="9474" width="8.85546875" style="119" customWidth="1"/>
    <col min="9475" max="9475" width="60.5703125" style="119" customWidth="1"/>
    <col min="9476" max="9476" width="5.85546875" style="119" customWidth="1"/>
    <col min="9477" max="9477" width="0" style="119" hidden="1" customWidth="1"/>
    <col min="9478" max="9478" width="10" style="119" customWidth="1"/>
    <col min="9479" max="9479" width="9.85546875" style="119" customWidth="1"/>
    <col min="9480" max="9480" width="0" style="119" hidden="1" customWidth="1"/>
    <col min="9481" max="9481" width="9.85546875" style="119" customWidth="1"/>
    <col min="9482" max="9482" width="10.7109375" style="119" customWidth="1"/>
    <col min="9483" max="9483" width="10" style="119" bestFit="1" customWidth="1"/>
    <col min="9484" max="9485" width="9.42578125" style="119" customWidth="1"/>
    <col min="9486" max="9728" width="9.140625" style="119"/>
    <col min="9729" max="9729" width="4.28515625" style="119" customWidth="1"/>
    <col min="9730" max="9730" width="8.85546875" style="119" customWidth="1"/>
    <col min="9731" max="9731" width="60.5703125" style="119" customWidth="1"/>
    <col min="9732" max="9732" width="5.85546875" style="119" customWidth="1"/>
    <col min="9733" max="9733" width="0" style="119" hidden="1" customWidth="1"/>
    <col min="9734" max="9734" width="10" style="119" customWidth="1"/>
    <col min="9735" max="9735" width="9.85546875" style="119" customWidth="1"/>
    <col min="9736" max="9736" width="0" style="119" hidden="1" customWidth="1"/>
    <col min="9737" max="9737" width="9.85546875" style="119" customWidth="1"/>
    <col min="9738" max="9738" width="10.7109375" style="119" customWidth="1"/>
    <col min="9739" max="9739" width="10" style="119" bestFit="1" customWidth="1"/>
    <col min="9740" max="9741" width="9.42578125" style="119" customWidth="1"/>
    <col min="9742" max="9984" width="9.140625" style="119"/>
    <col min="9985" max="9985" width="4.28515625" style="119" customWidth="1"/>
    <col min="9986" max="9986" width="8.85546875" style="119" customWidth="1"/>
    <col min="9987" max="9987" width="60.5703125" style="119" customWidth="1"/>
    <col min="9988" max="9988" width="5.85546875" style="119" customWidth="1"/>
    <col min="9989" max="9989" width="0" style="119" hidden="1" customWidth="1"/>
    <col min="9990" max="9990" width="10" style="119" customWidth="1"/>
    <col min="9991" max="9991" width="9.85546875" style="119" customWidth="1"/>
    <col min="9992" max="9992" width="0" style="119" hidden="1" customWidth="1"/>
    <col min="9993" max="9993" width="9.85546875" style="119" customWidth="1"/>
    <col min="9994" max="9994" width="10.7109375" style="119" customWidth="1"/>
    <col min="9995" max="9995" width="10" style="119" bestFit="1" customWidth="1"/>
    <col min="9996" max="9997" width="9.42578125" style="119" customWidth="1"/>
    <col min="9998" max="10240" width="9.140625" style="119"/>
    <col min="10241" max="10241" width="4.28515625" style="119" customWidth="1"/>
    <col min="10242" max="10242" width="8.85546875" style="119" customWidth="1"/>
    <col min="10243" max="10243" width="60.5703125" style="119" customWidth="1"/>
    <col min="10244" max="10244" width="5.85546875" style="119" customWidth="1"/>
    <col min="10245" max="10245" width="0" style="119" hidden="1" customWidth="1"/>
    <col min="10246" max="10246" width="10" style="119" customWidth="1"/>
    <col min="10247" max="10247" width="9.85546875" style="119" customWidth="1"/>
    <col min="10248" max="10248" width="0" style="119" hidden="1" customWidth="1"/>
    <col min="10249" max="10249" width="9.85546875" style="119" customWidth="1"/>
    <col min="10250" max="10250" width="10.7109375" style="119" customWidth="1"/>
    <col min="10251" max="10251" width="10" style="119" bestFit="1" customWidth="1"/>
    <col min="10252" max="10253" width="9.42578125" style="119" customWidth="1"/>
    <col min="10254" max="10496" width="9.140625" style="119"/>
    <col min="10497" max="10497" width="4.28515625" style="119" customWidth="1"/>
    <col min="10498" max="10498" width="8.85546875" style="119" customWidth="1"/>
    <col min="10499" max="10499" width="60.5703125" style="119" customWidth="1"/>
    <col min="10500" max="10500" width="5.85546875" style="119" customWidth="1"/>
    <col min="10501" max="10501" width="0" style="119" hidden="1" customWidth="1"/>
    <col min="10502" max="10502" width="10" style="119" customWidth="1"/>
    <col min="10503" max="10503" width="9.85546875" style="119" customWidth="1"/>
    <col min="10504" max="10504" width="0" style="119" hidden="1" customWidth="1"/>
    <col min="10505" max="10505" width="9.85546875" style="119" customWidth="1"/>
    <col min="10506" max="10506" width="10.7109375" style="119" customWidth="1"/>
    <col min="10507" max="10507" width="10" style="119" bestFit="1" customWidth="1"/>
    <col min="10508" max="10509" width="9.42578125" style="119" customWidth="1"/>
    <col min="10510" max="10752" width="9.140625" style="119"/>
    <col min="10753" max="10753" width="4.28515625" style="119" customWidth="1"/>
    <col min="10754" max="10754" width="8.85546875" style="119" customWidth="1"/>
    <col min="10755" max="10755" width="60.5703125" style="119" customWidth="1"/>
    <col min="10756" max="10756" width="5.85546875" style="119" customWidth="1"/>
    <col min="10757" max="10757" width="0" style="119" hidden="1" customWidth="1"/>
    <col min="10758" max="10758" width="10" style="119" customWidth="1"/>
    <col min="10759" max="10759" width="9.85546875" style="119" customWidth="1"/>
    <col min="10760" max="10760" width="0" style="119" hidden="1" customWidth="1"/>
    <col min="10761" max="10761" width="9.85546875" style="119" customWidth="1"/>
    <col min="10762" max="10762" width="10.7109375" style="119" customWidth="1"/>
    <col min="10763" max="10763" width="10" style="119" bestFit="1" customWidth="1"/>
    <col min="10764" max="10765" width="9.42578125" style="119" customWidth="1"/>
    <col min="10766" max="11008" width="9.140625" style="119"/>
    <col min="11009" max="11009" width="4.28515625" style="119" customWidth="1"/>
    <col min="11010" max="11010" width="8.85546875" style="119" customWidth="1"/>
    <col min="11011" max="11011" width="60.5703125" style="119" customWidth="1"/>
    <col min="11012" max="11012" width="5.85546875" style="119" customWidth="1"/>
    <col min="11013" max="11013" width="0" style="119" hidden="1" customWidth="1"/>
    <col min="11014" max="11014" width="10" style="119" customWidth="1"/>
    <col min="11015" max="11015" width="9.85546875" style="119" customWidth="1"/>
    <col min="11016" max="11016" width="0" style="119" hidden="1" customWidth="1"/>
    <col min="11017" max="11017" width="9.85546875" style="119" customWidth="1"/>
    <col min="11018" max="11018" width="10.7109375" style="119" customWidth="1"/>
    <col min="11019" max="11019" width="10" style="119" bestFit="1" customWidth="1"/>
    <col min="11020" max="11021" width="9.42578125" style="119" customWidth="1"/>
    <col min="11022" max="11264" width="9.140625" style="119"/>
    <col min="11265" max="11265" width="4.28515625" style="119" customWidth="1"/>
    <col min="11266" max="11266" width="8.85546875" style="119" customWidth="1"/>
    <col min="11267" max="11267" width="60.5703125" style="119" customWidth="1"/>
    <col min="11268" max="11268" width="5.85546875" style="119" customWidth="1"/>
    <col min="11269" max="11269" width="0" style="119" hidden="1" customWidth="1"/>
    <col min="11270" max="11270" width="10" style="119" customWidth="1"/>
    <col min="11271" max="11271" width="9.85546875" style="119" customWidth="1"/>
    <col min="11272" max="11272" width="0" style="119" hidden="1" customWidth="1"/>
    <col min="11273" max="11273" width="9.85546875" style="119" customWidth="1"/>
    <col min="11274" max="11274" width="10.7109375" style="119" customWidth="1"/>
    <col min="11275" max="11275" width="10" style="119" bestFit="1" customWidth="1"/>
    <col min="11276" max="11277" width="9.42578125" style="119" customWidth="1"/>
    <col min="11278" max="11520" width="9.140625" style="119"/>
    <col min="11521" max="11521" width="4.28515625" style="119" customWidth="1"/>
    <col min="11522" max="11522" width="8.85546875" style="119" customWidth="1"/>
    <col min="11523" max="11523" width="60.5703125" style="119" customWidth="1"/>
    <col min="11524" max="11524" width="5.85546875" style="119" customWidth="1"/>
    <col min="11525" max="11525" width="0" style="119" hidden="1" customWidth="1"/>
    <col min="11526" max="11526" width="10" style="119" customWidth="1"/>
    <col min="11527" max="11527" width="9.85546875" style="119" customWidth="1"/>
    <col min="11528" max="11528" width="0" style="119" hidden="1" customWidth="1"/>
    <col min="11529" max="11529" width="9.85546875" style="119" customWidth="1"/>
    <col min="11530" max="11530" width="10.7109375" style="119" customWidth="1"/>
    <col min="11531" max="11531" width="10" style="119" bestFit="1" customWidth="1"/>
    <col min="11532" max="11533" width="9.42578125" style="119" customWidth="1"/>
    <col min="11534" max="11776" width="9.140625" style="119"/>
    <col min="11777" max="11777" width="4.28515625" style="119" customWidth="1"/>
    <col min="11778" max="11778" width="8.85546875" style="119" customWidth="1"/>
    <col min="11779" max="11779" width="60.5703125" style="119" customWidth="1"/>
    <col min="11780" max="11780" width="5.85546875" style="119" customWidth="1"/>
    <col min="11781" max="11781" width="0" style="119" hidden="1" customWidth="1"/>
    <col min="11782" max="11782" width="10" style="119" customWidth="1"/>
    <col min="11783" max="11783" width="9.85546875" style="119" customWidth="1"/>
    <col min="11784" max="11784" width="0" style="119" hidden="1" customWidth="1"/>
    <col min="11785" max="11785" width="9.85546875" style="119" customWidth="1"/>
    <col min="11786" max="11786" width="10.7109375" style="119" customWidth="1"/>
    <col min="11787" max="11787" width="10" style="119" bestFit="1" customWidth="1"/>
    <col min="11788" max="11789" width="9.42578125" style="119" customWidth="1"/>
    <col min="11790" max="12032" width="9.140625" style="119"/>
    <col min="12033" max="12033" width="4.28515625" style="119" customWidth="1"/>
    <col min="12034" max="12034" width="8.85546875" style="119" customWidth="1"/>
    <col min="12035" max="12035" width="60.5703125" style="119" customWidth="1"/>
    <col min="12036" max="12036" width="5.85546875" style="119" customWidth="1"/>
    <col min="12037" max="12037" width="0" style="119" hidden="1" customWidth="1"/>
    <col min="12038" max="12038" width="10" style="119" customWidth="1"/>
    <col min="12039" max="12039" width="9.85546875" style="119" customWidth="1"/>
    <col min="12040" max="12040" width="0" style="119" hidden="1" customWidth="1"/>
    <col min="12041" max="12041" width="9.85546875" style="119" customWidth="1"/>
    <col min="12042" max="12042" width="10.7109375" style="119" customWidth="1"/>
    <col min="12043" max="12043" width="10" style="119" bestFit="1" customWidth="1"/>
    <col min="12044" max="12045" width="9.42578125" style="119" customWidth="1"/>
    <col min="12046" max="12288" width="9.140625" style="119"/>
    <col min="12289" max="12289" width="4.28515625" style="119" customWidth="1"/>
    <col min="12290" max="12290" width="8.85546875" style="119" customWidth="1"/>
    <col min="12291" max="12291" width="60.5703125" style="119" customWidth="1"/>
    <col min="12292" max="12292" width="5.85546875" style="119" customWidth="1"/>
    <col min="12293" max="12293" width="0" style="119" hidden="1" customWidth="1"/>
    <col min="12294" max="12294" width="10" style="119" customWidth="1"/>
    <col min="12295" max="12295" width="9.85546875" style="119" customWidth="1"/>
    <col min="12296" max="12296" width="0" style="119" hidden="1" customWidth="1"/>
    <col min="12297" max="12297" width="9.85546875" style="119" customWidth="1"/>
    <col min="12298" max="12298" width="10.7109375" style="119" customWidth="1"/>
    <col min="12299" max="12299" width="10" style="119" bestFit="1" customWidth="1"/>
    <col min="12300" max="12301" width="9.42578125" style="119" customWidth="1"/>
    <col min="12302" max="12544" width="9.140625" style="119"/>
    <col min="12545" max="12545" width="4.28515625" style="119" customWidth="1"/>
    <col min="12546" max="12546" width="8.85546875" style="119" customWidth="1"/>
    <col min="12547" max="12547" width="60.5703125" style="119" customWidth="1"/>
    <col min="12548" max="12548" width="5.85546875" style="119" customWidth="1"/>
    <col min="12549" max="12549" width="0" style="119" hidden="1" customWidth="1"/>
    <col min="12550" max="12550" width="10" style="119" customWidth="1"/>
    <col min="12551" max="12551" width="9.85546875" style="119" customWidth="1"/>
    <col min="12552" max="12552" width="0" style="119" hidden="1" customWidth="1"/>
    <col min="12553" max="12553" width="9.85546875" style="119" customWidth="1"/>
    <col min="12554" max="12554" width="10.7109375" style="119" customWidth="1"/>
    <col min="12555" max="12555" width="10" style="119" bestFit="1" customWidth="1"/>
    <col min="12556" max="12557" width="9.42578125" style="119" customWidth="1"/>
    <col min="12558" max="12800" width="9.140625" style="119"/>
    <col min="12801" max="12801" width="4.28515625" style="119" customWidth="1"/>
    <col min="12802" max="12802" width="8.85546875" style="119" customWidth="1"/>
    <col min="12803" max="12803" width="60.5703125" style="119" customWidth="1"/>
    <col min="12804" max="12804" width="5.85546875" style="119" customWidth="1"/>
    <col min="12805" max="12805" width="0" style="119" hidden="1" customWidth="1"/>
    <col min="12806" max="12806" width="10" style="119" customWidth="1"/>
    <col min="12807" max="12807" width="9.85546875" style="119" customWidth="1"/>
    <col min="12808" max="12808" width="0" style="119" hidden="1" customWidth="1"/>
    <col min="12809" max="12809" width="9.85546875" style="119" customWidth="1"/>
    <col min="12810" max="12810" width="10.7109375" style="119" customWidth="1"/>
    <col min="12811" max="12811" width="10" style="119" bestFit="1" customWidth="1"/>
    <col min="12812" max="12813" width="9.42578125" style="119" customWidth="1"/>
    <col min="12814" max="13056" width="9.140625" style="119"/>
    <col min="13057" max="13057" width="4.28515625" style="119" customWidth="1"/>
    <col min="13058" max="13058" width="8.85546875" style="119" customWidth="1"/>
    <col min="13059" max="13059" width="60.5703125" style="119" customWidth="1"/>
    <col min="13060" max="13060" width="5.85546875" style="119" customWidth="1"/>
    <col min="13061" max="13061" width="0" style="119" hidden="1" customWidth="1"/>
    <col min="13062" max="13062" width="10" style="119" customWidth="1"/>
    <col min="13063" max="13063" width="9.85546875" style="119" customWidth="1"/>
    <col min="13064" max="13064" width="0" style="119" hidden="1" customWidth="1"/>
    <col min="13065" max="13065" width="9.85546875" style="119" customWidth="1"/>
    <col min="13066" max="13066" width="10.7109375" style="119" customWidth="1"/>
    <col min="13067" max="13067" width="10" style="119" bestFit="1" customWidth="1"/>
    <col min="13068" max="13069" width="9.42578125" style="119" customWidth="1"/>
    <col min="13070" max="13312" width="9.140625" style="119"/>
    <col min="13313" max="13313" width="4.28515625" style="119" customWidth="1"/>
    <col min="13314" max="13314" width="8.85546875" style="119" customWidth="1"/>
    <col min="13315" max="13315" width="60.5703125" style="119" customWidth="1"/>
    <col min="13316" max="13316" width="5.85546875" style="119" customWidth="1"/>
    <col min="13317" max="13317" width="0" style="119" hidden="1" customWidth="1"/>
    <col min="13318" max="13318" width="10" style="119" customWidth="1"/>
    <col min="13319" max="13319" width="9.85546875" style="119" customWidth="1"/>
    <col min="13320" max="13320" width="0" style="119" hidden="1" customWidth="1"/>
    <col min="13321" max="13321" width="9.85546875" style="119" customWidth="1"/>
    <col min="13322" max="13322" width="10.7109375" style="119" customWidth="1"/>
    <col min="13323" max="13323" width="10" style="119" bestFit="1" customWidth="1"/>
    <col min="13324" max="13325" width="9.42578125" style="119" customWidth="1"/>
    <col min="13326" max="13568" width="9.140625" style="119"/>
    <col min="13569" max="13569" width="4.28515625" style="119" customWidth="1"/>
    <col min="13570" max="13570" width="8.85546875" style="119" customWidth="1"/>
    <col min="13571" max="13571" width="60.5703125" style="119" customWidth="1"/>
    <col min="13572" max="13572" width="5.85546875" style="119" customWidth="1"/>
    <col min="13573" max="13573" width="0" style="119" hidden="1" customWidth="1"/>
    <col min="13574" max="13574" width="10" style="119" customWidth="1"/>
    <col min="13575" max="13575" width="9.85546875" style="119" customWidth="1"/>
    <col min="13576" max="13576" width="0" style="119" hidden="1" customWidth="1"/>
    <col min="13577" max="13577" width="9.85546875" style="119" customWidth="1"/>
    <col min="13578" max="13578" width="10.7109375" style="119" customWidth="1"/>
    <col min="13579" max="13579" width="10" style="119" bestFit="1" customWidth="1"/>
    <col min="13580" max="13581" width="9.42578125" style="119" customWidth="1"/>
    <col min="13582" max="13824" width="9.140625" style="119"/>
    <col min="13825" max="13825" width="4.28515625" style="119" customWidth="1"/>
    <col min="13826" max="13826" width="8.85546875" style="119" customWidth="1"/>
    <col min="13827" max="13827" width="60.5703125" style="119" customWidth="1"/>
    <col min="13828" max="13828" width="5.85546875" style="119" customWidth="1"/>
    <col min="13829" max="13829" width="0" style="119" hidden="1" customWidth="1"/>
    <col min="13830" max="13830" width="10" style="119" customWidth="1"/>
    <col min="13831" max="13831" width="9.85546875" style="119" customWidth="1"/>
    <col min="13832" max="13832" width="0" style="119" hidden="1" customWidth="1"/>
    <col min="13833" max="13833" width="9.85546875" style="119" customWidth="1"/>
    <col min="13834" max="13834" width="10.7109375" style="119" customWidth="1"/>
    <col min="13835" max="13835" width="10" style="119" bestFit="1" customWidth="1"/>
    <col min="13836" max="13837" width="9.42578125" style="119" customWidth="1"/>
    <col min="13838" max="14080" width="9.140625" style="119"/>
    <col min="14081" max="14081" width="4.28515625" style="119" customWidth="1"/>
    <col min="14082" max="14082" width="8.85546875" style="119" customWidth="1"/>
    <col min="14083" max="14083" width="60.5703125" style="119" customWidth="1"/>
    <col min="14084" max="14084" width="5.85546875" style="119" customWidth="1"/>
    <col min="14085" max="14085" width="0" style="119" hidden="1" customWidth="1"/>
    <col min="14086" max="14086" width="10" style="119" customWidth="1"/>
    <col min="14087" max="14087" width="9.85546875" style="119" customWidth="1"/>
    <col min="14088" max="14088" width="0" style="119" hidden="1" customWidth="1"/>
    <col min="14089" max="14089" width="9.85546875" style="119" customWidth="1"/>
    <col min="14090" max="14090" width="10.7109375" style="119" customWidth="1"/>
    <col min="14091" max="14091" width="10" style="119" bestFit="1" customWidth="1"/>
    <col min="14092" max="14093" width="9.42578125" style="119" customWidth="1"/>
    <col min="14094" max="14336" width="9.140625" style="119"/>
    <col min="14337" max="14337" width="4.28515625" style="119" customWidth="1"/>
    <col min="14338" max="14338" width="8.85546875" style="119" customWidth="1"/>
    <col min="14339" max="14339" width="60.5703125" style="119" customWidth="1"/>
    <col min="14340" max="14340" width="5.85546875" style="119" customWidth="1"/>
    <col min="14341" max="14341" width="0" style="119" hidden="1" customWidth="1"/>
    <col min="14342" max="14342" width="10" style="119" customWidth="1"/>
    <col min="14343" max="14343" width="9.85546875" style="119" customWidth="1"/>
    <col min="14344" max="14344" width="0" style="119" hidden="1" customWidth="1"/>
    <col min="14345" max="14345" width="9.85546875" style="119" customWidth="1"/>
    <col min="14346" max="14346" width="10.7109375" style="119" customWidth="1"/>
    <col min="14347" max="14347" width="10" style="119" bestFit="1" customWidth="1"/>
    <col min="14348" max="14349" width="9.42578125" style="119" customWidth="1"/>
    <col min="14350" max="14592" width="9.140625" style="119"/>
    <col min="14593" max="14593" width="4.28515625" style="119" customWidth="1"/>
    <col min="14594" max="14594" width="8.85546875" style="119" customWidth="1"/>
    <col min="14595" max="14595" width="60.5703125" style="119" customWidth="1"/>
    <col min="14596" max="14596" width="5.85546875" style="119" customWidth="1"/>
    <col min="14597" max="14597" width="0" style="119" hidden="1" customWidth="1"/>
    <col min="14598" max="14598" width="10" style="119" customWidth="1"/>
    <col min="14599" max="14599" width="9.85546875" style="119" customWidth="1"/>
    <col min="14600" max="14600" width="0" style="119" hidden="1" customWidth="1"/>
    <col min="14601" max="14601" width="9.85546875" style="119" customWidth="1"/>
    <col min="14602" max="14602" width="10.7109375" style="119" customWidth="1"/>
    <col min="14603" max="14603" width="10" style="119" bestFit="1" customWidth="1"/>
    <col min="14604" max="14605" width="9.42578125" style="119" customWidth="1"/>
    <col min="14606" max="14848" width="9.140625" style="119"/>
    <col min="14849" max="14849" width="4.28515625" style="119" customWidth="1"/>
    <col min="14850" max="14850" width="8.85546875" style="119" customWidth="1"/>
    <col min="14851" max="14851" width="60.5703125" style="119" customWidth="1"/>
    <col min="14852" max="14852" width="5.85546875" style="119" customWidth="1"/>
    <col min="14853" max="14853" width="0" style="119" hidden="1" customWidth="1"/>
    <col min="14854" max="14854" width="10" style="119" customWidth="1"/>
    <col min="14855" max="14855" width="9.85546875" style="119" customWidth="1"/>
    <col min="14856" max="14856" width="0" style="119" hidden="1" customWidth="1"/>
    <col min="14857" max="14857" width="9.85546875" style="119" customWidth="1"/>
    <col min="14858" max="14858" width="10.7109375" style="119" customWidth="1"/>
    <col min="14859" max="14859" width="10" style="119" bestFit="1" customWidth="1"/>
    <col min="14860" max="14861" width="9.42578125" style="119" customWidth="1"/>
    <col min="14862" max="15104" width="9.140625" style="119"/>
    <col min="15105" max="15105" width="4.28515625" style="119" customWidth="1"/>
    <col min="15106" max="15106" width="8.85546875" style="119" customWidth="1"/>
    <col min="15107" max="15107" width="60.5703125" style="119" customWidth="1"/>
    <col min="15108" max="15108" width="5.85546875" style="119" customWidth="1"/>
    <col min="15109" max="15109" width="0" style="119" hidden="1" customWidth="1"/>
    <col min="15110" max="15110" width="10" style="119" customWidth="1"/>
    <col min="15111" max="15111" width="9.85546875" style="119" customWidth="1"/>
    <col min="15112" max="15112" width="0" style="119" hidden="1" customWidth="1"/>
    <col min="15113" max="15113" width="9.85546875" style="119" customWidth="1"/>
    <col min="15114" max="15114" width="10.7109375" style="119" customWidth="1"/>
    <col min="15115" max="15115" width="10" style="119" bestFit="1" customWidth="1"/>
    <col min="15116" max="15117" width="9.42578125" style="119" customWidth="1"/>
    <col min="15118" max="15360" width="9.140625" style="119"/>
    <col min="15361" max="15361" width="4.28515625" style="119" customWidth="1"/>
    <col min="15362" max="15362" width="8.85546875" style="119" customWidth="1"/>
    <col min="15363" max="15363" width="60.5703125" style="119" customWidth="1"/>
    <col min="15364" max="15364" width="5.85546875" style="119" customWidth="1"/>
    <col min="15365" max="15365" width="0" style="119" hidden="1" customWidth="1"/>
    <col min="15366" max="15366" width="10" style="119" customWidth="1"/>
    <col min="15367" max="15367" width="9.85546875" style="119" customWidth="1"/>
    <col min="15368" max="15368" width="0" style="119" hidden="1" customWidth="1"/>
    <col min="15369" max="15369" width="9.85546875" style="119" customWidth="1"/>
    <col min="15370" max="15370" width="10.7109375" style="119" customWidth="1"/>
    <col min="15371" max="15371" width="10" style="119" bestFit="1" customWidth="1"/>
    <col min="15372" max="15373" width="9.42578125" style="119" customWidth="1"/>
    <col min="15374" max="15616" width="9.140625" style="119"/>
    <col min="15617" max="15617" width="4.28515625" style="119" customWidth="1"/>
    <col min="15618" max="15618" width="8.85546875" style="119" customWidth="1"/>
    <col min="15619" max="15619" width="60.5703125" style="119" customWidth="1"/>
    <col min="15620" max="15620" width="5.85546875" style="119" customWidth="1"/>
    <col min="15621" max="15621" width="0" style="119" hidden="1" customWidth="1"/>
    <col min="15622" max="15622" width="10" style="119" customWidth="1"/>
    <col min="15623" max="15623" width="9.85546875" style="119" customWidth="1"/>
    <col min="15624" max="15624" width="0" style="119" hidden="1" customWidth="1"/>
    <col min="15625" max="15625" width="9.85546875" style="119" customWidth="1"/>
    <col min="15626" max="15626" width="10.7109375" style="119" customWidth="1"/>
    <col min="15627" max="15627" width="10" style="119" bestFit="1" customWidth="1"/>
    <col min="15628" max="15629" width="9.42578125" style="119" customWidth="1"/>
    <col min="15630" max="15872" width="9.140625" style="119"/>
    <col min="15873" max="15873" width="4.28515625" style="119" customWidth="1"/>
    <col min="15874" max="15874" width="8.85546875" style="119" customWidth="1"/>
    <col min="15875" max="15875" width="60.5703125" style="119" customWidth="1"/>
    <col min="15876" max="15876" width="5.85546875" style="119" customWidth="1"/>
    <col min="15877" max="15877" width="0" style="119" hidden="1" customWidth="1"/>
    <col min="15878" max="15878" width="10" style="119" customWidth="1"/>
    <col min="15879" max="15879" width="9.85546875" style="119" customWidth="1"/>
    <col min="15880" max="15880" width="0" style="119" hidden="1" customWidth="1"/>
    <col min="15881" max="15881" width="9.85546875" style="119" customWidth="1"/>
    <col min="15882" max="15882" width="10.7109375" style="119" customWidth="1"/>
    <col min="15883" max="15883" width="10" style="119" bestFit="1" customWidth="1"/>
    <col min="15884" max="15885" width="9.42578125" style="119" customWidth="1"/>
    <col min="15886" max="16128" width="9.140625" style="119"/>
    <col min="16129" max="16129" width="4.28515625" style="119" customWidth="1"/>
    <col min="16130" max="16130" width="8.85546875" style="119" customWidth="1"/>
    <col min="16131" max="16131" width="60.5703125" style="119" customWidth="1"/>
    <col min="16132" max="16132" width="5.85546875" style="119" customWidth="1"/>
    <col min="16133" max="16133" width="0" style="119" hidden="1" customWidth="1"/>
    <col min="16134" max="16134" width="10" style="119" customWidth="1"/>
    <col min="16135" max="16135" width="9.85546875" style="119" customWidth="1"/>
    <col min="16136" max="16136" width="0" style="119" hidden="1" customWidth="1"/>
    <col min="16137" max="16137" width="9.85546875" style="119" customWidth="1"/>
    <col min="16138" max="16138" width="10.7109375" style="119" customWidth="1"/>
    <col min="16139" max="16139" width="10" style="119" bestFit="1" customWidth="1"/>
    <col min="16140" max="16141" width="9.42578125" style="119" customWidth="1"/>
    <col min="16142" max="16384" width="9.140625" style="119"/>
  </cols>
  <sheetData>
    <row r="1" spans="1:17">
      <c r="A1" s="108" t="s">
        <v>131</v>
      </c>
      <c r="B1" s="108" t="s">
        <v>131</v>
      </c>
      <c r="Q1" s="6" t="s">
        <v>0</v>
      </c>
    </row>
    <row r="2" spans="1:17">
      <c r="P2" s="263"/>
      <c r="Q2" s="109" t="s">
        <v>325</v>
      </c>
    </row>
    <row r="3" spans="1:17">
      <c r="Q3" s="6" t="s">
        <v>326</v>
      </c>
    </row>
    <row r="4" spans="1:17">
      <c r="Q4" s="6" t="s">
        <v>327</v>
      </c>
    </row>
    <row r="5" spans="1:17">
      <c r="Q5" s="118" t="s">
        <v>1</v>
      </c>
    </row>
    <row r="6" spans="1:17" ht="12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1:17">
      <c r="A7" s="290" t="s">
        <v>181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</row>
    <row r="8" spans="1:17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</row>
    <row r="9" spans="1:17" ht="24.6" customHeight="1">
      <c r="A9" s="151" t="s">
        <v>2</v>
      </c>
      <c r="B9" s="151" t="s">
        <v>3</v>
      </c>
      <c r="C9" s="291" t="s">
        <v>4</v>
      </c>
      <c r="D9" s="291"/>
      <c r="E9" s="152" t="s">
        <v>130</v>
      </c>
      <c r="F9" s="152" t="s">
        <v>139</v>
      </c>
      <c r="G9" s="293" t="s">
        <v>162</v>
      </c>
      <c r="H9" s="153" t="s">
        <v>165</v>
      </c>
      <c r="I9" s="293" t="s">
        <v>166</v>
      </c>
      <c r="J9" s="293" t="s">
        <v>182</v>
      </c>
      <c r="K9" s="293" t="s">
        <v>183</v>
      </c>
      <c r="L9" s="295" t="s">
        <v>184</v>
      </c>
      <c r="M9" s="293" t="s">
        <v>185</v>
      </c>
      <c r="N9" s="300" t="s">
        <v>323</v>
      </c>
      <c r="O9" s="300" t="s">
        <v>324</v>
      </c>
      <c r="P9" s="297" t="s">
        <v>167</v>
      </c>
      <c r="Q9" s="299" t="s">
        <v>186</v>
      </c>
    </row>
    <row r="10" spans="1:17" ht="29.45" customHeight="1">
      <c r="A10" s="151"/>
      <c r="B10" s="151"/>
      <c r="C10" s="292"/>
      <c r="D10" s="292"/>
      <c r="E10" s="152"/>
      <c r="F10" s="152"/>
      <c r="G10" s="294"/>
      <c r="H10" s="153"/>
      <c r="I10" s="294"/>
      <c r="J10" s="294"/>
      <c r="K10" s="294"/>
      <c r="L10" s="296"/>
      <c r="M10" s="294"/>
      <c r="N10" s="301"/>
      <c r="O10" s="301"/>
      <c r="P10" s="298"/>
      <c r="Q10" s="299"/>
    </row>
    <row r="11" spans="1:17">
      <c r="A11" s="154">
        <v>1</v>
      </c>
      <c r="B11" s="154">
        <v>2</v>
      </c>
      <c r="C11" s="155">
        <v>3</v>
      </c>
      <c r="D11" s="155">
        <v>4</v>
      </c>
      <c r="E11" s="154">
        <v>5</v>
      </c>
      <c r="F11" s="155">
        <v>6</v>
      </c>
      <c r="G11" s="154">
        <v>5</v>
      </c>
      <c r="H11" s="154"/>
      <c r="I11" s="155">
        <v>5</v>
      </c>
      <c r="J11" s="155">
        <v>6</v>
      </c>
      <c r="K11" s="155">
        <v>8</v>
      </c>
      <c r="L11" s="155">
        <v>9</v>
      </c>
      <c r="M11" s="155">
        <v>7</v>
      </c>
      <c r="N11" s="154">
        <v>8</v>
      </c>
      <c r="O11" s="154">
        <v>9</v>
      </c>
      <c r="P11" s="155">
        <v>10</v>
      </c>
      <c r="Q11" s="154">
        <v>11</v>
      </c>
    </row>
    <row r="12" spans="1:17">
      <c r="A12" s="156">
        <v>1</v>
      </c>
      <c r="B12" s="157">
        <v>11111</v>
      </c>
      <c r="C12" s="158" t="s">
        <v>187</v>
      </c>
      <c r="D12" s="159">
        <v>100</v>
      </c>
      <c r="E12" s="160">
        <v>209040</v>
      </c>
      <c r="F12" s="160">
        <f>202397.82138+535.37797</f>
        <v>202933.19935000001</v>
      </c>
      <c r="G12" s="161">
        <v>252000</v>
      </c>
      <c r="H12" s="161">
        <v>256000</v>
      </c>
      <c r="I12" s="161">
        <f>264184.37091-674.96876</f>
        <v>263509.40214999998</v>
      </c>
      <c r="J12" s="161">
        <v>265678</v>
      </c>
      <c r="K12" s="161">
        <v>346066.7</v>
      </c>
      <c r="L12" s="161">
        <v>346066.7</v>
      </c>
      <c r="M12" s="161">
        <f>374956.05956-914.30826</f>
        <v>374041.7513</v>
      </c>
      <c r="N12" s="162">
        <v>361232</v>
      </c>
      <c r="O12" s="162">
        <f>418700-916</f>
        <v>417784</v>
      </c>
      <c r="P12" s="162">
        <v>487663</v>
      </c>
      <c r="Q12" s="162">
        <v>510583</v>
      </c>
    </row>
    <row r="13" spans="1:17">
      <c r="A13" s="156">
        <v>2</v>
      </c>
      <c r="B13" s="156">
        <v>11122100</v>
      </c>
      <c r="C13" s="164" t="s">
        <v>146</v>
      </c>
      <c r="D13" s="159">
        <v>100</v>
      </c>
      <c r="E13" s="160">
        <f>17500+500</f>
        <v>18000</v>
      </c>
      <c r="F13" s="160">
        <v>13998.745000000001</v>
      </c>
      <c r="G13" s="161">
        <f>17500</f>
        <v>17500</v>
      </c>
      <c r="H13" s="161">
        <v>17500</v>
      </c>
      <c r="I13" s="161">
        <v>18302.460999999999</v>
      </c>
      <c r="J13" s="161">
        <v>17500</v>
      </c>
      <c r="K13" s="161">
        <v>439.7</v>
      </c>
      <c r="L13" s="161">
        <v>1332.7</v>
      </c>
      <c r="M13" s="161">
        <v>464.07</v>
      </c>
      <c r="N13" s="162"/>
      <c r="O13" s="162"/>
      <c r="P13" s="162"/>
      <c r="Q13" s="162"/>
    </row>
    <row r="14" spans="1:17">
      <c r="A14" s="156">
        <v>3</v>
      </c>
      <c r="B14" s="156">
        <v>11122200</v>
      </c>
      <c r="C14" s="164" t="s">
        <v>147</v>
      </c>
      <c r="D14" s="159">
        <v>100</v>
      </c>
      <c r="E14" s="160">
        <f>53500+2000+1000</f>
        <v>56500</v>
      </c>
      <c r="F14" s="160">
        <v>43668.892500000002</v>
      </c>
      <c r="G14" s="161">
        <f>53500+2000+1000</f>
        <v>56500</v>
      </c>
      <c r="H14" s="161">
        <f>53500+2000+1000</f>
        <v>56500</v>
      </c>
      <c r="I14" s="161">
        <f>55714.77838+11.9</f>
        <v>55726.678380000005</v>
      </c>
      <c r="J14" s="161">
        <v>57500</v>
      </c>
      <c r="K14" s="161"/>
      <c r="L14" s="161">
        <v>27800</v>
      </c>
      <c r="M14" s="161">
        <v>21039.004209999999</v>
      </c>
      <c r="N14" s="162"/>
      <c r="O14" s="162"/>
      <c r="P14" s="162"/>
      <c r="Q14" s="162"/>
    </row>
    <row r="15" spans="1:17">
      <c r="A15" s="156">
        <v>4</v>
      </c>
      <c r="B15" s="156">
        <v>11122300</v>
      </c>
      <c r="C15" s="164" t="s">
        <v>188</v>
      </c>
      <c r="D15" s="159">
        <v>100</v>
      </c>
      <c r="E15" s="160"/>
      <c r="F15" s="160"/>
      <c r="G15" s="161"/>
      <c r="H15" s="161"/>
      <c r="I15" s="161"/>
      <c r="J15" s="161"/>
      <c r="K15" s="161">
        <v>58500</v>
      </c>
      <c r="L15" s="161">
        <v>29807</v>
      </c>
      <c r="M15" s="161">
        <v>41990.6561</v>
      </c>
      <c r="N15" s="162">
        <v>59220</v>
      </c>
      <c r="O15" s="162">
        <v>65690</v>
      </c>
      <c r="P15" s="162">
        <v>59220</v>
      </c>
      <c r="Q15" s="162">
        <v>59220</v>
      </c>
    </row>
    <row r="16" spans="1:17">
      <c r="A16" s="156">
        <v>5</v>
      </c>
      <c r="B16" s="156">
        <v>11121100</v>
      </c>
      <c r="C16" s="164" t="s">
        <v>148</v>
      </c>
      <c r="D16" s="159"/>
      <c r="E16" s="160">
        <v>1060</v>
      </c>
      <c r="F16" s="160">
        <v>1169.0413699999999</v>
      </c>
      <c r="G16" s="161">
        <v>1060</v>
      </c>
      <c r="H16" s="161">
        <v>1060</v>
      </c>
      <c r="I16" s="161">
        <v>1281.5486599999999</v>
      </c>
      <c r="J16" s="161">
        <v>1462</v>
      </c>
      <c r="K16" s="161">
        <v>42200</v>
      </c>
      <c r="L16" s="161">
        <v>42200</v>
      </c>
      <c r="M16" s="161">
        <v>50448.03067</v>
      </c>
      <c r="N16" s="162"/>
      <c r="O16" s="162"/>
      <c r="P16" s="149"/>
      <c r="Q16" s="163"/>
    </row>
    <row r="17" spans="1:17" ht="12.75" customHeight="1">
      <c r="A17" s="156">
        <v>6</v>
      </c>
      <c r="B17" s="157">
        <v>11462</v>
      </c>
      <c r="C17" s="164" t="s">
        <v>6</v>
      </c>
      <c r="D17" s="159">
        <v>50</v>
      </c>
      <c r="E17" s="160">
        <v>1303</v>
      </c>
      <c r="F17" s="160">
        <f>4.25+15+1.5+32.8257+1008.0875</f>
        <v>1061.6632</v>
      </c>
      <c r="G17" s="161">
        <v>1200</v>
      </c>
      <c r="H17" s="161">
        <v>1200</v>
      </c>
      <c r="I17" s="161">
        <f>16.66682+1.1285+45.61949+1171.3675</f>
        <v>1234.7823100000001</v>
      </c>
      <c r="J17" s="161">
        <v>1307.9000000000001</v>
      </c>
      <c r="K17" s="161">
        <v>1307.9000000000001</v>
      </c>
      <c r="L17" s="161">
        <v>1307.9000000000001</v>
      </c>
      <c r="M17" s="161">
        <f>0.25+46.54534+1481.6075</f>
        <v>1528.40284</v>
      </c>
      <c r="N17" s="161">
        <v>1310</v>
      </c>
      <c r="O17" s="161">
        <v>1600</v>
      </c>
      <c r="P17" s="161">
        <v>1310</v>
      </c>
      <c r="Q17" s="163">
        <v>1310</v>
      </c>
    </row>
    <row r="18" spans="1:17" ht="13.5">
      <c r="A18" s="156"/>
      <c r="B18" s="165"/>
      <c r="C18" s="166" t="s">
        <v>7</v>
      </c>
      <c r="D18" s="166"/>
      <c r="E18" s="167">
        <f t="shared" ref="E18:Q18" si="0">SUM(E12:E17)</f>
        <v>285903</v>
      </c>
      <c r="F18" s="167">
        <f t="shared" si="0"/>
        <v>262831.54142000002</v>
      </c>
      <c r="G18" s="168">
        <f t="shared" si="0"/>
        <v>328260</v>
      </c>
      <c r="H18" s="168">
        <f t="shared" si="0"/>
        <v>332260</v>
      </c>
      <c r="I18" s="168">
        <f t="shared" si="0"/>
        <v>340054.87249999994</v>
      </c>
      <c r="J18" s="168">
        <f t="shared" si="0"/>
        <v>343447.9</v>
      </c>
      <c r="K18" s="168">
        <f t="shared" si="0"/>
        <v>448514.30000000005</v>
      </c>
      <c r="L18" s="168">
        <f>SUM(L12:L17)</f>
        <v>448514.30000000005</v>
      </c>
      <c r="M18" s="168">
        <f t="shared" si="0"/>
        <v>489511.91512000002</v>
      </c>
      <c r="N18" s="169">
        <f>SUM(N12:N17)</f>
        <v>421762</v>
      </c>
      <c r="O18" s="169">
        <f>SUM(O12:O17)</f>
        <v>485074</v>
      </c>
      <c r="P18" s="169">
        <f t="shared" si="0"/>
        <v>548193</v>
      </c>
      <c r="Q18" s="169">
        <f t="shared" si="0"/>
        <v>571113</v>
      </c>
    </row>
    <row r="19" spans="1:17">
      <c r="A19" s="156">
        <v>7</v>
      </c>
      <c r="B19" s="156">
        <v>11311100</v>
      </c>
      <c r="C19" s="164" t="s">
        <v>189</v>
      </c>
      <c r="D19" s="159">
        <v>100</v>
      </c>
      <c r="E19" s="160">
        <v>340</v>
      </c>
      <c r="F19" s="160">
        <v>647.85234000000003</v>
      </c>
      <c r="G19" s="161">
        <v>380</v>
      </c>
      <c r="H19" s="161">
        <v>650</v>
      </c>
      <c r="I19" s="161">
        <v>813.58950000000004</v>
      </c>
      <c r="J19" s="161">
        <v>650</v>
      </c>
      <c r="K19" s="161">
        <v>650</v>
      </c>
      <c r="L19" s="161">
        <v>650</v>
      </c>
      <c r="M19" s="161">
        <v>1277.27385</v>
      </c>
      <c r="N19" s="162">
        <v>670</v>
      </c>
      <c r="O19" s="162">
        <v>1300</v>
      </c>
      <c r="P19" s="162">
        <v>700</v>
      </c>
      <c r="Q19" s="162">
        <v>900</v>
      </c>
    </row>
    <row r="20" spans="1:17">
      <c r="A20" s="156">
        <v>8</v>
      </c>
      <c r="B20" s="156">
        <v>11311200</v>
      </c>
      <c r="C20" s="164" t="s">
        <v>190</v>
      </c>
      <c r="D20" s="159">
        <v>100</v>
      </c>
      <c r="E20" s="160">
        <v>21760</v>
      </c>
      <c r="F20" s="160">
        <v>23859.74639</v>
      </c>
      <c r="G20" s="161">
        <v>22500</v>
      </c>
      <c r="H20" s="161">
        <v>23300</v>
      </c>
      <c r="I20" s="161">
        <v>27151.50346</v>
      </c>
      <c r="J20" s="161">
        <v>24873.8</v>
      </c>
      <c r="K20" s="161">
        <v>25233.8</v>
      </c>
      <c r="L20" s="161">
        <v>24873.8</v>
      </c>
      <c r="M20" s="161">
        <v>29224.872820000001</v>
      </c>
      <c r="N20" s="162">
        <v>27360</v>
      </c>
      <c r="O20" s="162">
        <v>27360</v>
      </c>
      <c r="P20" s="162">
        <v>27360</v>
      </c>
      <c r="Q20" s="162">
        <v>27360</v>
      </c>
    </row>
    <row r="21" spans="1:17">
      <c r="A21" s="156">
        <v>9</v>
      </c>
      <c r="B21" s="156">
        <v>11311300</v>
      </c>
      <c r="C21" s="164" t="s">
        <v>149</v>
      </c>
      <c r="D21" s="159">
        <v>100</v>
      </c>
      <c r="E21" s="160">
        <v>300</v>
      </c>
      <c r="F21" s="160">
        <v>334.10081000000002</v>
      </c>
      <c r="G21" s="161">
        <v>360</v>
      </c>
      <c r="H21" s="161">
        <v>360</v>
      </c>
      <c r="I21" s="161">
        <v>362.74045000000001</v>
      </c>
      <c r="J21" s="161">
        <v>360</v>
      </c>
      <c r="K21" s="161"/>
      <c r="L21" s="161">
        <v>360</v>
      </c>
      <c r="M21" s="161">
        <v>422.09884</v>
      </c>
      <c r="N21" s="162"/>
      <c r="O21" s="162"/>
      <c r="P21" s="162"/>
      <c r="Q21" s="162"/>
    </row>
    <row r="22" spans="1:17">
      <c r="A22" s="156">
        <v>10</v>
      </c>
      <c r="B22" s="157">
        <v>11312</v>
      </c>
      <c r="C22" s="164" t="s">
        <v>150</v>
      </c>
      <c r="D22" s="159">
        <v>100</v>
      </c>
      <c r="E22" s="160">
        <v>10600</v>
      </c>
      <c r="F22" s="160">
        <f>1267.7299+7993.41742</f>
        <v>9261.14732</v>
      </c>
      <c r="G22" s="161">
        <f>10600-1000</f>
        <v>9600</v>
      </c>
      <c r="H22" s="161">
        <v>9600</v>
      </c>
      <c r="I22" s="161">
        <f>1615.67959+8006.26184</f>
        <v>9621.9414300000008</v>
      </c>
      <c r="J22" s="161">
        <v>9713.2999999999993</v>
      </c>
      <c r="K22" s="161">
        <v>9713.2999999999993</v>
      </c>
      <c r="L22" s="161">
        <v>9713.2999999999993</v>
      </c>
      <c r="M22" s="161">
        <f>1346.58456+10080.81688</f>
        <v>11427.40144</v>
      </c>
      <c r="N22" s="162">
        <f>1400+8420</f>
        <v>9820</v>
      </c>
      <c r="O22" s="162">
        <v>11000</v>
      </c>
      <c r="P22" s="162">
        <v>9900</v>
      </c>
      <c r="Q22" s="162">
        <v>10000</v>
      </c>
    </row>
    <row r="23" spans="1:17">
      <c r="A23" s="156">
        <v>11</v>
      </c>
      <c r="B23" s="156">
        <v>11321100</v>
      </c>
      <c r="C23" s="170" t="s">
        <v>191</v>
      </c>
      <c r="D23" s="159">
        <v>100</v>
      </c>
      <c r="E23" s="160">
        <v>3100</v>
      </c>
      <c r="F23" s="160">
        <v>4438.1163699999997</v>
      </c>
      <c r="G23" s="161">
        <f>3200+1000</f>
        <v>4200</v>
      </c>
      <c r="H23" s="161">
        <v>4400</v>
      </c>
      <c r="I23" s="161">
        <v>4993.6256700000004</v>
      </c>
      <c r="J23" s="161">
        <v>5100</v>
      </c>
      <c r="K23" s="161">
        <v>4400</v>
      </c>
      <c r="L23" s="161">
        <v>5100</v>
      </c>
      <c r="M23" s="161">
        <v>5686.0952500000003</v>
      </c>
      <c r="N23" s="162">
        <v>5600</v>
      </c>
      <c r="O23" s="162">
        <v>5600</v>
      </c>
      <c r="P23" s="162">
        <v>5600</v>
      </c>
      <c r="Q23" s="162">
        <v>5600</v>
      </c>
    </row>
    <row r="24" spans="1:17">
      <c r="A24" s="156">
        <v>12</v>
      </c>
      <c r="B24" s="156">
        <v>11321200</v>
      </c>
      <c r="C24" s="164" t="s">
        <v>192</v>
      </c>
      <c r="D24" s="159">
        <v>100</v>
      </c>
      <c r="E24" s="160">
        <v>452</v>
      </c>
      <c r="F24" s="160">
        <v>511.2715</v>
      </c>
      <c r="G24" s="161">
        <v>452</v>
      </c>
      <c r="H24" s="161">
        <v>452</v>
      </c>
      <c r="I24" s="161">
        <v>476.14850000000001</v>
      </c>
      <c r="J24" s="161">
        <v>452</v>
      </c>
      <c r="K24" s="161"/>
      <c r="L24" s="161">
        <v>45.2</v>
      </c>
      <c r="M24" s="161">
        <v>166.244</v>
      </c>
      <c r="N24" s="162"/>
      <c r="O24" s="162">
        <v>0</v>
      </c>
      <c r="P24" s="162">
        <v>0</v>
      </c>
      <c r="Q24" s="162">
        <v>452</v>
      </c>
    </row>
    <row r="25" spans="1:17" ht="25.5">
      <c r="A25" s="156">
        <v>13</v>
      </c>
      <c r="B25" s="156">
        <v>11321300</v>
      </c>
      <c r="C25" s="170" t="s">
        <v>193</v>
      </c>
      <c r="D25" s="159">
        <v>100</v>
      </c>
      <c r="E25" s="160">
        <f>16540</f>
        <v>16540</v>
      </c>
      <c r="F25" s="160">
        <v>16705.27622</v>
      </c>
      <c r="G25" s="161">
        <v>16800</v>
      </c>
      <c r="H25" s="161">
        <v>16800</v>
      </c>
      <c r="I25" s="161">
        <v>16743.137019999998</v>
      </c>
      <c r="J25" s="161">
        <v>16301.1</v>
      </c>
      <c r="K25" s="161">
        <v>16301.1</v>
      </c>
      <c r="L25" s="161">
        <v>16501.099999999999</v>
      </c>
      <c r="M25" s="161">
        <v>18442.02793</v>
      </c>
      <c r="N25" s="162">
        <v>17585.8</v>
      </c>
      <c r="O25" s="162">
        <v>17800</v>
      </c>
      <c r="P25" s="162">
        <v>17000</v>
      </c>
      <c r="Q25" s="162">
        <v>17000</v>
      </c>
    </row>
    <row r="26" spans="1:17">
      <c r="A26" s="156">
        <v>14</v>
      </c>
      <c r="B26" s="156">
        <v>14224200</v>
      </c>
      <c r="C26" s="170" t="s">
        <v>151</v>
      </c>
      <c r="D26" s="159">
        <v>100</v>
      </c>
      <c r="E26" s="160">
        <v>920</v>
      </c>
      <c r="F26" s="160">
        <v>926.71461999999997</v>
      </c>
      <c r="G26" s="161">
        <v>920</v>
      </c>
      <c r="H26" s="161">
        <v>980</v>
      </c>
      <c r="I26" s="161">
        <v>989.61292000000003</v>
      </c>
      <c r="J26" s="161">
        <v>980</v>
      </c>
      <c r="K26" s="161">
        <v>980</v>
      </c>
      <c r="L26" s="161">
        <v>980</v>
      </c>
      <c r="M26" s="161">
        <v>1066.7782999999999</v>
      </c>
      <c r="N26" s="149">
        <v>1000</v>
      </c>
      <c r="O26" s="162">
        <v>1000</v>
      </c>
      <c r="P26" s="162">
        <v>1000</v>
      </c>
      <c r="Q26" s="162">
        <v>1000</v>
      </c>
    </row>
    <row r="27" spans="1:17" ht="38.25">
      <c r="A27" s="156">
        <v>15</v>
      </c>
      <c r="B27" s="164">
        <v>14224410</v>
      </c>
      <c r="C27" s="170" t="s">
        <v>155</v>
      </c>
      <c r="D27" s="170">
        <v>100</v>
      </c>
      <c r="E27" s="160"/>
      <c r="F27" s="160">
        <v>760.5</v>
      </c>
      <c r="G27" s="161"/>
      <c r="H27" s="161">
        <v>1120</v>
      </c>
      <c r="I27" s="161">
        <v>1590</v>
      </c>
      <c r="J27" s="161"/>
      <c r="K27" s="161">
        <v>231</v>
      </c>
      <c r="L27" s="161">
        <v>231</v>
      </c>
      <c r="M27" s="161">
        <v>1041</v>
      </c>
      <c r="N27" s="162"/>
      <c r="O27" s="162"/>
      <c r="P27" s="171"/>
      <c r="Q27" s="171"/>
    </row>
    <row r="28" spans="1:17" ht="13.5" customHeight="1">
      <c r="A28" s="156">
        <v>16</v>
      </c>
      <c r="B28" s="164">
        <v>11611200</v>
      </c>
      <c r="C28" s="170" t="s">
        <v>194</v>
      </c>
      <c r="D28" s="170"/>
      <c r="E28" s="160"/>
      <c r="F28" s="160"/>
      <c r="G28" s="161"/>
      <c r="H28" s="161"/>
      <c r="I28" s="161"/>
      <c r="J28" s="161"/>
      <c r="K28" s="161"/>
      <c r="L28" s="161"/>
      <c r="M28" s="161">
        <v>1.837</v>
      </c>
      <c r="N28" s="162"/>
      <c r="O28" s="162"/>
      <c r="P28" s="171"/>
      <c r="Q28" s="171"/>
    </row>
    <row r="29" spans="1:17" ht="13.5" customHeight="1">
      <c r="A29" s="156"/>
      <c r="B29" s="165"/>
      <c r="C29" s="166" t="s">
        <v>8</v>
      </c>
      <c r="D29" s="166"/>
      <c r="E29" s="167">
        <f t="shared" ref="E29:Q29" si="1">SUM(E19:E27)</f>
        <v>54012</v>
      </c>
      <c r="F29" s="167">
        <f t="shared" si="1"/>
        <v>57444.72557000001</v>
      </c>
      <c r="G29" s="167">
        <f t="shared" si="1"/>
        <v>55212</v>
      </c>
      <c r="H29" s="167">
        <f t="shared" si="1"/>
        <v>57662</v>
      </c>
      <c r="I29" s="167">
        <f t="shared" si="1"/>
        <v>62742.298950000011</v>
      </c>
      <c r="J29" s="167">
        <f t="shared" si="1"/>
        <v>58430.2</v>
      </c>
      <c r="K29" s="167">
        <f t="shared" si="1"/>
        <v>57509.2</v>
      </c>
      <c r="L29" s="167">
        <f>SUM(L19:L27)</f>
        <v>58454.399999999994</v>
      </c>
      <c r="M29" s="167">
        <f>SUM(M19:M28)</f>
        <v>68755.629430000001</v>
      </c>
      <c r="N29" s="167">
        <f>SUM(N19:N27)</f>
        <v>62035.8</v>
      </c>
      <c r="O29" s="167">
        <f>SUM(O19:O27)</f>
        <v>64060</v>
      </c>
      <c r="P29" s="167">
        <f t="shared" si="1"/>
        <v>61560</v>
      </c>
      <c r="Q29" s="167">
        <f t="shared" si="1"/>
        <v>62312</v>
      </c>
    </row>
    <row r="30" spans="1:17" ht="13.5">
      <c r="A30" s="156"/>
      <c r="B30" s="156"/>
      <c r="C30" s="172" t="s">
        <v>9</v>
      </c>
      <c r="D30" s="172"/>
      <c r="E30" s="167">
        <f t="shared" ref="E30:Q30" si="2">E29+E18</f>
        <v>339915</v>
      </c>
      <c r="F30" s="167">
        <f t="shared" si="2"/>
        <v>320276.26699000003</v>
      </c>
      <c r="G30" s="168">
        <f t="shared" si="2"/>
        <v>383472</v>
      </c>
      <c r="H30" s="168">
        <f t="shared" si="2"/>
        <v>389922</v>
      </c>
      <c r="I30" s="168">
        <f t="shared" si="2"/>
        <v>402797.17144999997</v>
      </c>
      <c r="J30" s="168">
        <f t="shared" si="2"/>
        <v>401878.10000000003</v>
      </c>
      <c r="K30" s="168">
        <f t="shared" si="2"/>
        <v>506023.50000000006</v>
      </c>
      <c r="L30" s="168">
        <f>L29+L18</f>
        <v>506968.70000000007</v>
      </c>
      <c r="M30" s="168">
        <f t="shared" si="2"/>
        <v>558267.54454999999</v>
      </c>
      <c r="N30" s="169">
        <f>N29+N18</f>
        <v>483797.8</v>
      </c>
      <c r="O30" s="169">
        <f>O29+O18</f>
        <v>549134</v>
      </c>
      <c r="P30" s="169">
        <f t="shared" si="2"/>
        <v>609753</v>
      </c>
      <c r="Q30" s="169">
        <f t="shared" si="2"/>
        <v>633425</v>
      </c>
    </row>
    <row r="31" spans="1:17">
      <c r="A31" s="156">
        <v>17</v>
      </c>
      <c r="B31" s="156">
        <v>14152100</v>
      </c>
      <c r="C31" s="164" t="s">
        <v>152</v>
      </c>
      <c r="D31" s="159">
        <v>100</v>
      </c>
      <c r="E31" s="160">
        <f>SUM(E32:E34)</f>
        <v>26500</v>
      </c>
      <c r="F31" s="161">
        <f t="shared" ref="F31:K31" si="3">SUM(F32:F34)</f>
        <v>19994.953850000002</v>
      </c>
      <c r="G31" s="161">
        <f t="shared" si="3"/>
        <v>27829.3</v>
      </c>
      <c r="H31" s="161">
        <f t="shared" si="3"/>
        <v>28454</v>
      </c>
      <c r="I31" s="161">
        <f t="shared" si="3"/>
        <v>31184.7</v>
      </c>
      <c r="J31" s="161">
        <f t="shared" si="3"/>
        <v>31530.5</v>
      </c>
      <c r="K31" s="161">
        <f t="shared" si="3"/>
        <v>33630.5</v>
      </c>
      <c r="L31" s="161">
        <f>SUM(L32:L34)</f>
        <v>33630.5</v>
      </c>
      <c r="M31" s="161">
        <f>SUM(M32:M34)</f>
        <v>33097.4</v>
      </c>
      <c r="N31" s="162">
        <v>54025.2</v>
      </c>
      <c r="O31" s="162">
        <f>SUM(O32:O35)</f>
        <v>53641</v>
      </c>
      <c r="P31" s="162">
        <f>SUM(P32:P35)</f>
        <v>54682.603999999999</v>
      </c>
      <c r="Q31" s="162">
        <f>SUM(Q32:Q35)</f>
        <v>55682.603999999999</v>
      </c>
    </row>
    <row r="32" spans="1:17">
      <c r="A32" s="156"/>
      <c r="B32" s="156"/>
      <c r="C32" s="173" t="s">
        <v>168</v>
      </c>
      <c r="D32" s="159">
        <v>100</v>
      </c>
      <c r="E32" s="174">
        <f>8500+600+100+55.6</f>
        <v>9255.6</v>
      </c>
      <c r="F32" s="160">
        <f>19994.95385-F33-F34</f>
        <v>6612.9538500000017</v>
      </c>
      <c r="G32" s="175">
        <f>9500+500+612.4</f>
        <v>10612.4</v>
      </c>
      <c r="H32" s="175">
        <v>12012.4</v>
      </c>
      <c r="I32" s="175">
        <f>14261.3-5</f>
        <v>14256.3</v>
      </c>
      <c r="J32" s="175">
        <v>14000</v>
      </c>
      <c r="K32" s="175">
        <v>15100</v>
      </c>
      <c r="L32" s="175">
        <v>15100</v>
      </c>
      <c r="M32" s="175">
        <v>16087.6</v>
      </c>
      <c r="N32" s="176"/>
      <c r="O32" s="176">
        <v>18500</v>
      </c>
      <c r="P32" s="176">
        <v>17000</v>
      </c>
      <c r="Q32" s="176">
        <v>18000</v>
      </c>
    </row>
    <row r="33" spans="1:17">
      <c r="A33" s="156"/>
      <c r="B33" s="156"/>
      <c r="C33" s="173" t="s">
        <v>169</v>
      </c>
      <c r="D33" s="159">
        <v>100</v>
      </c>
      <c r="E33" s="174">
        <f>7795.9+1336.1+1435.4</f>
        <v>10567.4</v>
      </c>
      <c r="F33" s="174">
        <v>8486</v>
      </c>
      <c r="G33" s="175">
        <f>7795.9+1336.1+1435.4+200</f>
        <v>10767.4</v>
      </c>
      <c r="H33" s="175">
        <v>10550.5</v>
      </c>
      <c r="I33" s="175">
        <f>10714.6+5</f>
        <v>10719.6</v>
      </c>
      <c r="J33" s="175">
        <v>10550.5</v>
      </c>
      <c r="K33" s="175">
        <v>10550.5</v>
      </c>
      <c r="L33" s="175">
        <v>10550.5</v>
      </c>
      <c r="M33" s="177">
        <v>10445</v>
      </c>
      <c r="N33" s="176"/>
      <c r="O33" s="176">
        <v>6527.5</v>
      </c>
      <c r="P33" s="176">
        <f>1435.356+5494.548</f>
        <v>6929.9039999999995</v>
      </c>
      <c r="Q33" s="176">
        <f>1435.356+5494.548</f>
        <v>6929.9039999999995</v>
      </c>
    </row>
    <row r="34" spans="1:17">
      <c r="A34" s="156"/>
      <c r="B34" s="156"/>
      <c r="C34" s="173" t="s">
        <v>10</v>
      </c>
      <c r="D34" s="159">
        <v>100</v>
      </c>
      <c r="E34" s="174">
        <v>6677</v>
      </c>
      <c r="F34" s="174">
        <v>4896</v>
      </c>
      <c r="G34" s="175">
        <f>6677+323-626.7+76.2</f>
        <v>6449.5</v>
      </c>
      <c r="H34" s="175">
        <v>5891.1</v>
      </c>
      <c r="I34" s="175">
        <v>6208.8</v>
      </c>
      <c r="J34" s="175">
        <v>6980</v>
      </c>
      <c r="K34" s="175">
        <v>7980</v>
      </c>
      <c r="L34" s="175">
        <v>7980</v>
      </c>
      <c r="M34" s="177">
        <v>6564.8</v>
      </c>
      <c r="N34" s="176"/>
      <c r="O34" s="176">
        <v>6892.9</v>
      </c>
      <c r="P34" s="176">
        <f>7057.5</f>
        <v>7057.5</v>
      </c>
      <c r="Q34" s="176">
        <f>7057.5</f>
        <v>7057.5</v>
      </c>
    </row>
    <row r="35" spans="1:17">
      <c r="A35" s="156"/>
      <c r="B35" s="156"/>
      <c r="C35" s="173" t="s">
        <v>195</v>
      </c>
      <c r="D35" s="159"/>
      <c r="E35" s="174"/>
      <c r="F35" s="174"/>
      <c r="G35" s="175"/>
      <c r="H35" s="175"/>
      <c r="I35" s="175"/>
      <c r="J35" s="175"/>
      <c r="K35" s="175"/>
      <c r="L35" s="175"/>
      <c r="M35" s="175"/>
      <c r="N35" s="176"/>
      <c r="O35" s="176">
        <v>21720.6</v>
      </c>
      <c r="P35" s="176">
        <v>23695.200000000001</v>
      </c>
      <c r="Q35" s="176">
        <v>23695.200000000001</v>
      </c>
    </row>
    <row r="36" spans="1:17">
      <c r="A36" s="156">
        <v>18</v>
      </c>
      <c r="B36" s="178">
        <v>14152200</v>
      </c>
      <c r="C36" s="179" t="s">
        <v>196</v>
      </c>
      <c r="D36" s="159"/>
      <c r="E36" s="160"/>
      <c r="F36" s="160"/>
      <c r="G36" s="180"/>
      <c r="H36" s="180">
        <v>60</v>
      </c>
      <c r="I36" s="180">
        <v>49.15</v>
      </c>
      <c r="J36" s="180">
        <v>60</v>
      </c>
      <c r="K36" s="180">
        <v>60</v>
      </c>
      <c r="L36" s="180">
        <v>60</v>
      </c>
      <c r="M36" s="180">
        <v>34.96</v>
      </c>
      <c r="N36" s="181">
        <v>60</v>
      </c>
      <c r="O36" s="181">
        <v>60</v>
      </c>
      <c r="P36" s="181">
        <v>60</v>
      </c>
      <c r="Q36" s="181">
        <v>60</v>
      </c>
    </row>
    <row r="37" spans="1:17" ht="25.5">
      <c r="A37" s="156">
        <v>19</v>
      </c>
      <c r="B37" s="156">
        <v>14152600</v>
      </c>
      <c r="C37" s="170" t="s">
        <v>170</v>
      </c>
      <c r="D37" s="159">
        <v>100</v>
      </c>
      <c r="E37" s="160">
        <f>600+109</f>
        <v>709</v>
      </c>
      <c r="F37" s="160">
        <v>706.49300000000005</v>
      </c>
      <c r="G37" s="161">
        <v>790</v>
      </c>
      <c r="H37" s="161">
        <v>790</v>
      </c>
      <c r="I37" s="161">
        <v>799.61800000000005</v>
      </c>
      <c r="J37" s="161">
        <v>800</v>
      </c>
      <c r="K37" s="161">
        <v>800</v>
      </c>
      <c r="L37" s="161">
        <v>800</v>
      </c>
      <c r="M37" s="161">
        <v>799.23699999999997</v>
      </c>
      <c r="N37" s="162">
        <v>800</v>
      </c>
      <c r="O37" s="162">
        <v>800</v>
      </c>
      <c r="P37" s="162">
        <v>800</v>
      </c>
      <c r="Q37" s="162">
        <v>800</v>
      </c>
    </row>
    <row r="38" spans="1:17" ht="25.5">
      <c r="A38" s="156">
        <v>20</v>
      </c>
      <c r="B38" s="156">
        <v>14211200</v>
      </c>
      <c r="C38" s="170" t="s">
        <v>153</v>
      </c>
      <c r="D38" s="159">
        <v>100</v>
      </c>
      <c r="E38" s="160">
        <f>3400-500+50</f>
        <v>2950</v>
      </c>
      <c r="F38" s="160">
        <v>2399.576</v>
      </c>
      <c r="G38" s="161">
        <v>5068.2</v>
      </c>
      <c r="H38" s="161">
        <v>5068.2</v>
      </c>
      <c r="I38" s="161">
        <v>5551.9549999999999</v>
      </c>
      <c r="J38" s="161">
        <v>5900</v>
      </c>
      <c r="K38" s="161">
        <v>6100</v>
      </c>
      <c r="L38" s="161">
        <v>6100</v>
      </c>
      <c r="M38" s="161">
        <v>7111.8119999999999</v>
      </c>
      <c r="N38" s="162">
        <v>6000</v>
      </c>
      <c r="O38" s="162">
        <v>7200</v>
      </c>
      <c r="P38" s="162">
        <v>6000</v>
      </c>
      <c r="Q38" s="162">
        <v>6100</v>
      </c>
    </row>
    <row r="39" spans="1:17" ht="12.75" customHeight="1">
      <c r="A39" s="156">
        <v>21</v>
      </c>
      <c r="B39" s="156">
        <v>14224300</v>
      </c>
      <c r="C39" s="164" t="s">
        <v>154</v>
      </c>
      <c r="D39" s="159">
        <v>100</v>
      </c>
      <c r="E39" s="160">
        <f>3070-270</f>
        <v>2800</v>
      </c>
      <c r="F39" s="160">
        <v>2297.0749999999998</v>
      </c>
      <c r="G39" s="161">
        <v>3300</v>
      </c>
      <c r="H39" s="161">
        <v>9500</v>
      </c>
      <c r="I39" s="161">
        <v>9519.1230500000001</v>
      </c>
      <c r="J39" s="161">
        <v>12470</v>
      </c>
      <c r="K39" s="161">
        <v>12970</v>
      </c>
      <c r="L39" s="161">
        <v>12970</v>
      </c>
      <c r="M39" s="161">
        <v>13458.52959</v>
      </c>
      <c r="N39" s="162">
        <v>13479</v>
      </c>
      <c r="O39" s="162">
        <v>12000</v>
      </c>
      <c r="P39" s="162">
        <v>13479</v>
      </c>
      <c r="Q39" s="162">
        <v>13479</v>
      </c>
    </row>
    <row r="40" spans="1:17" ht="24">
      <c r="A40" s="156">
        <v>22</v>
      </c>
      <c r="B40" s="164">
        <v>14221900</v>
      </c>
      <c r="C40" s="170" t="s">
        <v>197</v>
      </c>
      <c r="D40" s="159">
        <v>100</v>
      </c>
      <c r="E40" s="160">
        <f>2000+50+50</f>
        <v>2100</v>
      </c>
      <c r="F40" s="160">
        <v>1851.5450000000001</v>
      </c>
      <c r="G40" s="161">
        <v>2200</v>
      </c>
      <c r="H40" s="161">
        <v>2200</v>
      </c>
      <c r="I40" s="161">
        <v>2201.6309999999999</v>
      </c>
      <c r="J40" s="161">
        <v>2200</v>
      </c>
      <c r="K40" s="161">
        <v>2200</v>
      </c>
      <c r="L40" s="161">
        <v>2200</v>
      </c>
      <c r="M40" s="161">
        <v>2231.1210000000001</v>
      </c>
      <c r="N40" s="162">
        <v>2200</v>
      </c>
      <c r="O40" s="162"/>
      <c r="P40" s="162">
        <v>2200</v>
      </c>
      <c r="Q40" s="162">
        <v>2200</v>
      </c>
    </row>
    <row r="41" spans="1:17" hidden="1">
      <c r="A41" s="156">
        <v>23</v>
      </c>
      <c r="B41" s="164">
        <v>14151200</v>
      </c>
      <c r="C41" s="179" t="s">
        <v>171</v>
      </c>
      <c r="D41" s="159"/>
      <c r="E41" s="160"/>
      <c r="F41" s="160"/>
      <c r="G41" s="161"/>
      <c r="H41" s="161"/>
      <c r="I41" s="161"/>
      <c r="J41" s="161"/>
      <c r="K41" s="161"/>
      <c r="L41" s="161"/>
      <c r="M41" s="161"/>
      <c r="N41" s="162"/>
      <c r="O41" s="162"/>
      <c r="P41" s="162"/>
      <c r="Q41" s="162"/>
    </row>
    <row r="42" spans="1:17">
      <c r="A42" s="156">
        <v>24</v>
      </c>
      <c r="B42" s="178">
        <v>14311400</v>
      </c>
      <c r="C42" s="179" t="s">
        <v>156</v>
      </c>
      <c r="D42" s="170"/>
      <c r="E42" s="160"/>
      <c r="F42" s="160">
        <v>19.2</v>
      </c>
      <c r="G42" s="161"/>
      <c r="H42" s="161"/>
      <c r="I42" s="161">
        <v>67.408799999999999</v>
      </c>
      <c r="J42" s="161"/>
      <c r="K42" s="161"/>
      <c r="L42" s="161"/>
      <c r="M42" s="161">
        <v>2.0972499999999998</v>
      </c>
      <c r="N42" s="162"/>
      <c r="O42" s="162"/>
      <c r="P42" s="171"/>
      <c r="Q42" s="171"/>
    </row>
    <row r="43" spans="1:17">
      <c r="A43" s="156">
        <v>25</v>
      </c>
      <c r="B43" s="178">
        <v>14311500</v>
      </c>
      <c r="C43" s="179" t="s">
        <v>157</v>
      </c>
      <c r="D43" s="170"/>
      <c r="E43" s="160"/>
      <c r="F43" s="160">
        <v>105.854</v>
      </c>
      <c r="G43" s="161"/>
      <c r="H43" s="161"/>
      <c r="I43" s="161">
        <v>4710.6909999999998</v>
      </c>
      <c r="J43" s="161"/>
      <c r="K43" s="161"/>
      <c r="L43" s="161"/>
      <c r="M43" s="161"/>
      <c r="N43" s="162"/>
      <c r="O43" s="162"/>
      <c r="P43" s="171"/>
      <c r="Q43" s="171"/>
    </row>
    <row r="44" spans="1:17">
      <c r="A44" s="156">
        <v>26</v>
      </c>
      <c r="B44" s="178">
        <v>14511100</v>
      </c>
      <c r="C44" s="179" t="s">
        <v>137</v>
      </c>
      <c r="D44" s="170"/>
      <c r="E44" s="160"/>
      <c r="F44" s="160">
        <v>220.60210000000001</v>
      </c>
      <c r="G44" s="161"/>
      <c r="H44" s="161">
        <v>3120.7</v>
      </c>
      <c r="I44" s="161">
        <v>3450.1961299999998</v>
      </c>
      <c r="J44" s="161"/>
      <c r="K44" s="161"/>
      <c r="L44" s="161"/>
      <c r="M44" s="161">
        <v>921.34299999999996</v>
      </c>
      <c r="N44" s="162"/>
      <c r="O44" s="162"/>
      <c r="P44" s="171"/>
      <c r="Q44" s="171"/>
    </row>
    <row r="45" spans="1:17">
      <c r="A45" s="156">
        <v>27</v>
      </c>
      <c r="B45" s="182">
        <v>14151200</v>
      </c>
      <c r="C45" s="179" t="s">
        <v>171</v>
      </c>
      <c r="D45" s="170"/>
      <c r="E45" s="160"/>
      <c r="F45" s="160">
        <v>7.085</v>
      </c>
      <c r="G45" s="161"/>
      <c r="H45" s="161"/>
      <c r="I45" s="161">
        <v>2.4089999999999998</v>
      </c>
      <c r="J45" s="161"/>
      <c r="K45" s="161"/>
      <c r="L45" s="161"/>
      <c r="M45" s="161"/>
      <c r="N45" s="162"/>
      <c r="O45" s="162"/>
      <c r="P45" s="171"/>
      <c r="Q45" s="171"/>
    </row>
    <row r="46" spans="1:17">
      <c r="A46" s="156">
        <v>28</v>
      </c>
      <c r="B46" s="183">
        <v>14311100</v>
      </c>
      <c r="C46" s="184" t="s">
        <v>198</v>
      </c>
      <c r="D46" s="170"/>
      <c r="E46" s="160"/>
      <c r="F46" s="160">
        <v>114.14100000000001</v>
      </c>
      <c r="G46" s="161"/>
      <c r="H46" s="161"/>
      <c r="I46" s="161"/>
      <c r="J46" s="161"/>
      <c r="K46" s="161"/>
      <c r="L46" s="161"/>
      <c r="M46" s="161">
        <v>27.5</v>
      </c>
      <c r="N46" s="162"/>
      <c r="O46" s="162"/>
      <c r="P46" s="171"/>
      <c r="Q46" s="171"/>
    </row>
    <row r="47" spans="1:17" ht="13.15" hidden="1" customHeight="1">
      <c r="A47" s="156">
        <v>29</v>
      </c>
      <c r="B47" s="185">
        <v>31121100</v>
      </c>
      <c r="C47" s="186" t="s">
        <v>158</v>
      </c>
      <c r="D47" s="170"/>
      <c r="E47" s="160"/>
      <c r="F47" s="160">
        <v>13.52</v>
      </c>
      <c r="G47" s="161"/>
      <c r="H47" s="161"/>
      <c r="I47" s="161">
        <v>130</v>
      </c>
      <c r="J47" s="161"/>
      <c r="K47" s="161"/>
      <c r="L47" s="161"/>
      <c r="M47" s="161"/>
      <c r="N47" s="162"/>
      <c r="O47" s="162"/>
      <c r="P47" s="171"/>
      <c r="Q47" s="171"/>
    </row>
    <row r="48" spans="1:17">
      <c r="A48" s="156">
        <v>30</v>
      </c>
      <c r="B48" s="185">
        <v>31112120</v>
      </c>
      <c r="C48" s="186" t="s">
        <v>172</v>
      </c>
      <c r="D48" s="187"/>
      <c r="E48" s="160"/>
      <c r="F48" s="160">
        <v>110.694</v>
      </c>
      <c r="G48" s="161"/>
      <c r="H48" s="161"/>
      <c r="I48" s="161">
        <v>118.286</v>
      </c>
      <c r="J48" s="161"/>
      <c r="K48" s="161">
        <v>1333</v>
      </c>
      <c r="L48" s="161">
        <v>1333</v>
      </c>
      <c r="M48" s="161">
        <v>1834.213</v>
      </c>
      <c r="N48" s="162"/>
      <c r="O48" s="162"/>
      <c r="P48" s="171"/>
      <c r="Q48" s="171"/>
    </row>
    <row r="49" spans="1:18">
      <c r="A49" s="156">
        <v>31</v>
      </c>
      <c r="B49" s="156">
        <v>31112190</v>
      </c>
      <c r="C49" s="186" t="s">
        <v>173</v>
      </c>
      <c r="D49" s="187"/>
      <c r="E49" s="160"/>
      <c r="F49" s="160"/>
      <c r="G49" s="161"/>
      <c r="H49" s="161"/>
      <c r="I49" s="161">
        <v>535.86699999999996</v>
      </c>
      <c r="J49" s="161"/>
      <c r="K49" s="161">
        <v>1200</v>
      </c>
      <c r="L49" s="161">
        <v>1200</v>
      </c>
      <c r="M49" s="161"/>
      <c r="N49" s="162"/>
      <c r="O49" s="162"/>
      <c r="P49" s="171"/>
      <c r="Q49" s="171"/>
    </row>
    <row r="50" spans="1:18">
      <c r="A50" s="156">
        <v>32</v>
      </c>
      <c r="B50" s="178">
        <v>31121130</v>
      </c>
      <c r="C50" s="184" t="s">
        <v>159</v>
      </c>
      <c r="D50" s="170"/>
      <c r="E50" s="160"/>
      <c r="F50" s="160">
        <v>157.923</v>
      </c>
      <c r="G50" s="161"/>
      <c r="H50" s="161"/>
      <c r="I50" s="161">
        <v>148.15199999999999</v>
      </c>
      <c r="J50" s="161"/>
      <c r="K50" s="161"/>
      <c r="L50" s="161"/>
      <c r="M50" s="161">
        <v>40</v>
      </c>
      <c r="N50" s="162"/>
      <c r="O50" s="162"/>
      <c r="P50" s="171"/>
      <c r="Q50" s="171"/>
    </row>
    <row r="51" spans="1:18" hidden="1">
      <c r="A51" s="156">
        <v>33</v>
      </c>
      <c r="B51" s="178">
        <v>31121190</v>
      </c>
      <c r="C51" s="179" t="s">
        <v>160</v>
      </c>
      <c r="D51" s="170"/>
      <c r="E51" s="160"/>
      <c r="F51" s="160"/>
      <c r="G51" s="161"/>
      <c r="H51" s="161"/>
      <c r="I51" s="161"/>
      <c r="J51" s="161"/>
      <c r="K51" s="161"/>
      <c r="L51" s="161"/>
      <c r="M51" s="161"/>
      <c r="N51" s="162"/>
      <c r="O51" s="162"/>
      <c r="P51" s="171"/>
      <c r="Q51" s="171"/>
    </row>
    <row r="52" spans="1:18" ht="25.5">
      <c r="A52" s="156"/>
      <c r="B52" s="156"/>
      <c r="C52" s="188" t="s">
        <v>11</v>
      </c>
      <c r="D52" s="188"/>
      <c r="E52" s="189">
        <f>SUM(E32:E40)</f>
        <v>35059</v>
      </c>
      <c r="F52" s="189">
        <f>SUM(F32:F51)</f>
        <v>27998.661950000002</v>
      </c>
      <c r="G52" s="189">
        <f t="shared" ref="G52:Q52" si="4">SUM(G32:G51)</f>
        <v>39187.5</v>
      </c>
      <c r="H52" s="189">
        <f t="shared" si="4"/>
        <v>49192.899999999994</v>
      </c>
      <c r="I52" s="189">
        <f t="shared" si="4"/>
        <v>58469.186979999999</v>
      </c>
      <c r="J52" s="189">
        <f>SUM(J32:J51)</f>
        <v>52960.5</v>
      </c>
      <c r="K52" s="189">
        <f>SUM(K32:K51)</f>
        <v>58293.5</v>
      </c>
      <c r="L52" s="189">
        <f>SUM(L32:L51)</f>
        <v>58293.5</v>
      </c>
      <c r="M52" s="189">
        <f>SUM(M31:M51)-M31</f>
        <v>59558.212840000015</v>
      </c>
      <c r="N52" s="189">
        <f>SUM(N31:N51)</f>
        <v>76564.2</v>
      </c>
      <c r="O52" s="189">
        <f>SUM(O32:O51)</f>
        <v>73701</v>
      </c>
      <c r="P52" s="189">
        <f t="shared" si="4"/>
        <v>77221.603999999992</v>
      </c>
      <c r="Q52" s="189">
        <f t="shared" si="4"/>
        <v>78321.603999999992</v>
      </c>
    </row>
    <row r="53" spans="1:18">
      <c r="A53" s="156"/>
      <c r="B53" s="156"/>
      <c r="C53" s="190" t="s">
        <v>12</v>
      </c>
      <c r="D53" s="191"/>
      <c r="E53" s="192">
        <f t="shared" ref="E53:Q53" si="5">E52+E30</f>
        <v>374974</v>
      </c>
      <c r="F53" s="193">
        <f t="shared" si="5"/>
        <v>348274.92894000001</v>
      </c>
      <c r="G53" s="194">
        <f t="shared" si="5"/>
        <v>422659.5</v>
      </c>
      <c r="H53" s="194">
        <f t="shared" si="5"/>
        <v>439114.9</v>
      </c>
      <c r="I53" s="194">
        <f t="shared" si="5"/>
        <v>461266.35842999996</v>
      </c>
      <c r="J53" s="194">
        <f t="shared" si="5"/>
        <v>454838.60000000003</v>
      </c>
      <c r="K53" s="194">
        <f t="shared" si="5"/>
        <v>564317</v>
      </c>
      <c r="L53" s="194">
        <f t="shared" si="5"/>
        <v>565262.20000000007</v>
      </c>
      <c r="M53" s="194">
        <f t="shared" si="5"/>
        <v>617825.75739000004</v>
      </c>
      <c r="N53" s="193">
        <f t="shared" si="5"/>
        <v>560362</v>
      </c>
      <c r="O53" s="193">
        <f t="shared" si="5"/>
        <v>622835</v>
      </c>
      <c r="P53" s="193">
        <f t="shared" si="5"/>
        <v>686974.60400000005</v>
      </c>
      <c r="Q53" s="192">
        <f t="shared" si="5"/>
        <v>711746.60400000005</v>
      </c>
      <c r="R53" s="120"/>
    </row>
    <row r="54" spans="1:18" ht="13.5">
      <c r="A54" s="156"/>
      <c r="B54" s="156"/>
      <c r="C54" s="195" t="s">
        <v>13</v>
      </c>
      <c r="D54" s="195"/>
      <c r="E54" s="160"/>
      <c r="F54" s="160"/>
      <c r="G54" s="196"/>
      <c r="H54" s="196"/>
      <c r="I54" s="196"/>
      <c r="J54" s="196"/>
      <c r="K54" s="196"/>
      <c r="L54" s="196"/>
      <c r="M54" s="196"/>
      <c r="N54" s="160"/>
      <c r="O54" s="160"/>
      <c r="P54" s="160"/>
      <c r="Q54" s="160"/>
    </row>
    <row r="55" spans="1:18">
      <c r="A55" s="156">
        <v>34</v>
      </c>
      <c r="B55" s="156">
        <v>14232400</v>
      </c>
      <c r="C55" s="170" t="s">
        <v>136</v>
      </c>
      <c r="D55" s="170"/>
      <c r="E55" s="160">
        <v>34078</v>
      </c>
      <c r="F55" s="160">
        <v>8778.7540000000008</v>
      </c>
      <c r="G55" s="196">
        <f>33704.9-9695.4</f>
        <v>24009.5</v>
      </c>
      <c r="H55" s="196">
        <v>34009.5</v>
      </c>
      <c r="I55" s="196">
        <v>29692.421999999999</v>
      </c>
      <c r="J55" s="196">
        <v>52329.599999999999</v>
      </c>
      <c r="K55" s="196">
        <v>52329.599999999999</v>
      </c>
      <c r="L55" s="196">
        <v>52329.599999999999</v>
      </c>
      <c r="M55" s="196">
        <v>47288.578999999998</v>
      </c>
      <c r="N55" s="160">
        <v>53993</v>
      </c>
      <c r="O55" s="160">
        <v>61397.7</v>
      </c>
      <c r="P55" s="160">
        <v>55612.800000000003</v>
      </c>
      <c r="Q55" s="160">
        <v>55612.800000000003</v>
      </c>
    </row>
    <row r="56" spans="1:18">
      <c r="A56" s="156">
        <v>35</v>
      </c>
      <c r="B56" s="156">
        <v>14232900</v>
      </c>
      <c r="C56" s="170" t="s">
        <v>174</v>
      </c>
      <c r="D56" s="170"/>
      <c r="E56" s="160">
        <v>650</v>
      </c>
      <c r="F56" s="160">
        <v>650</v>
      </c>
      <c r="G56" s="196">
        <v>650</v>
      </c>
      <c r="H56" s="196">
        <v>1000</v>
      </c>
      <c r="I56" s="196">
        <v>1141.508</v>
      </c>
      <c r="J56" s="196">
        <v>1100</v>
      </c>
      <c r="K56" s="196">
        <v>1100</v>
      </c>
      <c r="L56" s="196">
        <v>1100</v>
      </c>
      <c r="M56" s="196">
        <v>1532.35598</v>
      </c>
      <c r="N56" s="160">
        <v>1200</v>
      </c>
      <c r="O56" s="160">
        <v>2000</v>
      </c>
      <c r="P56" s="160">
        <v>1250</v>
      </c>
      <c r="Q56" s="160">
        <v>1300</v>
      </c>
    </row>
    <row r="57" spans="1:18" ht="25.5">
      <c r="A57" s="156">
        <v>36</v>
      </c>
      <c r="B57" s="156">
        <v>14236900</v>
      </c>
      <c r="C57" s="170" t="s">
        <v>175</v>
      </c>
      <c r="D57" s="170"/>
      <c r="E57" s="160"/>
      <c r="F57" s="160">
        <v>-9.4021000000000008</v>
      </c>
      <c r="G57" s="196"/>
      <c r="H57" s="196"/>
      <c r="I57" s="196"/>
      <c r="J57" s="196"/>
      <c r="K57" s="196"/>
      <c r="L57" s="196"/>
      <c r="M57" s="196"/>
      <c r="N57" s="160"/>
      <c r="O57" s="160"/>
      <c r="P57" s="160"/>
      <c r="Q57" s="160"/>
    </row>
    <row r="58" spans="1:18">
      <c r="A58" s="156">
        <v>37</v>
      </c>
      <c r="B58" s="156">
        <v>14238900</v>
      </c>
      <c r="C58" s="170" t="s">
        <v>132</v>
      </c>
      <c r="D58" s="170"/>
      <c r="E58" s="160">
        <v>47872</v>
      </c>
      <c r="F58" s="160">
        <v>38952.909740000003</v>
      </c>
      <c r="G58" s="196">
        <f>10287.6-278.2+700+157+38000+247.1+32000</f>
        <v>81113.5</v>
      </c>
      <c r="H58" s="196">
        <v>51076.6</v>
      </c>
      <c r="I58" s="196">
        <v>51108.462</v>
      </c>
      <c r="J58" s="196">
        <v>55938.9</v>
      </c>
      <c r="K58" s="196">
        <v>55938.9</v>
      </c>
      <c r="L58" s="196">
        <v>55938.9</v>
      </c>
      <c r="M58" s="196">
        <v>54438.173540000003</v>
      </c>
      <c r="N58" s="160">
        <v>70721.600000000006</v>
      </c>
      <c r="O58" s="160">
        <v>90368.1</v>
      </c>
      <c r="P58" s="160">
        <f>21589.5+233.6+750+71500+140+65</f>
        <v>94278.1</v>
      </c>
      <c r="Q58" s="160">
        <f>21589.5+233.6+800+78650+140+70</f>
        <v>101483.1</v>
      </c>
    </row>
    <row r="59" spans="1:18">
      <c r="A59" s="156">
        <v>38</v>
      </c>
      <c r="B59" s="156">
        <v>14411100</v>
      </c>
      <c r="C59" s="164" t="s">
        <v>133</v>
      </c>
      <c r="D59" s="164"/>
      <c r="E59" s="160"/>
      <c r="F59" s="160">
        <v>3581.1924399999998</v>
      </c>
      <c r="G59" s="196">
        <v>100</v>
      </c>
      <c r="H59" s="196">
        <v>560.79999999999995</v>
      </c>
      <c r="I59" s="196">
        <v>358.70100000000002</v>
      </c>
      <c r="J59" s="196">
        <v>200</v>
      </c>
      <c r="K59" s="196">
        <v>200</v>
      </c>
      <c r="L59" s="196">
        <v>200</v>
      </c>
      <c r="M59" s="196"/>
      <c r="N59" s="160">
        <v>100</v>
      </c>
      <c r="O59" s="160">
        <v>100</v>
      </c>
      <c r="P59" s="160">
        <v>100</v>
      </c>
      <c r="Q59" s="160">
        <v>100</v>
      </c>
    </row>
    <row r="60" spans="1:18">
      <c r="A60" s="156"/>
      <c r="B60" s="163"/>
      <c r="C60" s="165" t="s">
        <v>134</v>
      </c>
      <c r="D60" s="165"/>
      <c r="E60" s="189">
        <f t="shared" ref="E60:Q60" si="6">SUM(E55:E59)</f>
        <v>82600</v>
      </c>
      <c r="F60" s="189">
        <f t="shared" si="6"/>
        <v>51953.454080000003</v>
      </c>
      <c r="G60" s="189">
        <f t="shared" si="6"/>
        <v>105873</v>
      </c>
      <c r="H60" s="189">
        <f t="shared" si="6"/>
        <v>86646.900000000009</v>
      </c>
      <c r="I60" s="189">
        <f t="shared" si="6"/>
        <v>82301.092999999993</v>
      </c>
      <c r="J60" s="189">
        <f t="shared" si="6"/>
        <v>109568.5</v>
      </c>
      <c r="K60" s="189">
        <f t="shared" si="6"/>
        <v>109568.5</v>
      </c>
      <c r="L60" s="189">
        <f>SUM(L55:L59)</f>
        <v>109568.5</v>
      </c>
      <c r="M60" s="189">
        <f t="shared" si="6"/>
        <v>103259.10852000001</v>
      </c>
      <c r="N60" s="189">
        <f>SUM(N55:N59)</f>
        <v>126014.6</v>
      </c>
      <c r="O60" s="189">
        <f>SUM(O55:O59)</f>
        <v>153865.79999999999</v>
      </c>
      <c r="P60" s="189">
        <f t="shared" si="6"/>
        <v>151240.90000000002</v>
      </c>
      <c r="Q60" s="189">
        <f t="shared" si="6"/>
        <v>158495.90000000002</v>
      </c>
    </row>
    <row r="61" spans="1:18">
      <c r="A61" s="156">
        <v>39</v>
      </c>
      <c r="B61" s="163"/>
      <c r="C61" s="197" t="s">
        <v>199</v>
      </c>
      <c r="D61" s="198"/>
      <c r="E61" s="199"/>
      <c r="F61" s="199">
        <v>2222.3000000000002</v>
      </c>
      <c r="G61" s="199"/>
      <c r="H61" s="199">
        <v>5000</v>
      </c>
      <c r="I61" s="199">
        <v>5523</v>
      </c>
      <c r="J61" s="199"/>
      <c r="K61" s="199"/>
      <c r="L61" s="199">
        <f>14219.8</f>
        <v>14219.8</v>
      </c>
      <c r="M61" s="199">
        <f>14219.8-711.4</f>
        <v>13508.4</v>
      </c>
      <c r="N61" s="199"/>
      <c r="O61" s="199"/>
      <c r="P61" s="199"/>
      <c r="Q61" s="199"/>
    </row>
    <row r="62" spans="1:18">
      <c r="A62" s="156"/>
      <c r="B62" s="163"/>
      <c r="C62" s="200" t="s">
        <v>135</v>
      </c>
      <c r="D62" s="200"/>
      <c r="E62" s="189">
        <f>E60+E61+E53</f>
        <v>457574</v>
      </c>
      <c r="F62" s="189">
        <f t="shared" ref="F62:M62" si="7">F60+F53+F61</f>
        <v>402450.68302</v>
      </c>
      <c r="G62" s="189">
        <f t="shared" si="7"/>
        <v>528532.5</v>
      </c>
      <c r="H62" s="189">
        <f t="shared" si="7"/>
        <v>530761.80000000005</v>
      </c>
      <c r="I62" s="189">
        <f t="shared" si="7"/>
        <v>549090.4514299999</v>
      </c>
      <c r="J62" s="189">
        <f t="shared" si="7"/>
        <v>564407.10000000009</v>
      </c>
      <c r="K62" s="189">
        <f t="shared" si="7"/>
        <v>673885.5</v>
      </c>
      <c r="L62" s="189">
        <f>L60+L53+L61</f>
        <v>689050.50000000012</v>
      </c>
      <c r="M62" s="189">
        <f t="shared" si="7"/>
        <v>734593.26591000007</v>
      </c>
      <c r="N62" s="189">
        <f>N60+N53</f>
        <v>686376.6</v>
      </c>
      <c r="O62" s="189">
        <f>O60+O53</f>
        <v>776700.8</v>
      </c>
      <c r="P62" s="189">
        <f>P60+P53</f>
        <v>838215.50400000007</v>
      </c>
      <c r="Q62" s="189">
        <f>Q60+Q53</f>
        <v>870242.50400000007</v>
      </c>
    </row>
    <row r="64" spans="1:18">
      <c r="F64" s="120"/>
    </row>
    <row r="65" spans="2:2">
      <c r="B65" s="3" t="s">
        <v>328</v>
      </c>
    </row>
  </sheetData>
  <mergeCells count="13">
    <mergeCell ref="A7:Q7"/>
    <mergeCell ref="C9:C10"/>
    <mergeCell ref="D9:D10"/>
    <mergeCell ref="G9:G10"/>
    <mergeCell ref="I9:I10"/>
    <mergeCell ref="J9:J10"/>
    <mergeCell ref="K9:K10"/>
    <mergeCell ref="L9:L10"/>
    <mergeCell ref="M9:M10"/>
    <mergeCell ref="P9:P10"/>
    <mergeCell ref="Q9:Q10"/>
    <mergeCell ref="N9:N10"/>
    <mergeCell ref="O9:O10"/>
  </mergeCells>
  <printOptions horizontalCentered="1"/>
  <pageMargins left="0.19685039370078741" right="0.19685039370078741" top="0.31496062992125984" bottom="0.31496062992125984" header="0.51181102362204722" footer="0"/>
  <pageSetup paperSize="9" scale="81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zoomScale="85" zoomScaleNormal="85" workbookViewId="0">
      <pane ySplit="11" topLeftCell="A12" activePane="bottomLeft" state="frozen"/>
      <selection pane="bottomLeft" activeCell="N57" sqref="N57"/>
    </sheetView>
  </sheetViews>
  <sheetFormatPr defaultColWidth="6.7109375" defaultRowHeight="12.75"/>
  <cols>
    <col min="1" max="1" width="4" style="5" bestFit="1" customWidth="1"/>
    <col min="2" max="2" width="28.28515625" style="5" customWidth="1"/>
    <col min="3" max="3" width="11.140625" style="5" customWidth="1"/>
    <col min="4" max="4" width="8.7109375" style="5" customWidth="1"/>
    <col min="5" max="5" width="8.28515625" style="5" bestFit="1" customWidth="1"/>
    <col min="6" max="6" width="7.7109375" style="5" customWidth="1"/>
    <col min="7" max="7" width="8.28515625" style="5" customWidth="1"/>
    <col min="8" max="8" width="7.42578125" style="5" customWidth="1"/>
    <col min="9" max="9" width="8.7109375" style="5" customWidth="1"/>
    <col min="10" max="10" width="8.28515625" style="5" hidden="1" customWidth="1"/>
    <col min="11" max="11" width="8.5703125" style="5" customWidth="1"/>
    <col min="12" max="12" width="7.28515625" style="5" bestFit="1" customWidth="1"/>
    <col min="13" max="15" width="8.28515625" style="5" customWidth="1"/>
    <col min="16" max="18" width="7.7109375" style="5" customWidth="1"/>
    <col min="19" max="19" width="9.140625" style="5" customWidth="1"/>
    <col min="20" max="20" width="9" style="5" customWidth="1"/>
    <col min="21" max="21" width="7.5703125" style="5" customWidth="1"/>
    <col min="22" max="22" width="7.85546875" style="5" bestFit="1" customWidth="1"/>
    <col min="23" max="23" width="8.28515625" style="5" customWidth="1"/>
    <col min="24" max="24" width="8.140625" style="5" customWidth="1"/>
    <col min="25" max="25" width="8.85546875" style="5" customWidth="1"/>
    <col min="26" max="26" width="7.7109375" style="5" customWidth="1"/>
    <col min="27" max="27" width="6.85546875" style="5" bestFit="1" customWidth="1"/>
    <col min="28" max="28" width="8" style="5" customWidth="1"/>
    <col min="29" max="29" width="7.85546875" style="5" hidden="1" customWidth="1"/>
    <col min="30" max="31" width="9.28515625" style="5" customWidth="1"/>
    <col min="32" max="34" width="7.85546875" style="5" customWidth="1"/>
    <col min="35" max="35" width="10.140625" style="5" customWidth="1"/>
    <col min="36" max="36" width="7.85546875" style="5" bestFit="1" customWidth="1"/>
    <col min="37" max="37" width="10.28515625" style="5" bestFit="1" customWidth="1"/>
    <col min="38" max="38" width="6.7109375" style="5"/>
    <col min="39" max="40" width="7.85546875" style="5" bestFit="1" customWidth="1"/>
    <col min="41" max="16384" width="6.7109375" style="5"/>
  </cols>
  <sheetData>
    <row r="1" spans="1:40">
      <c r="Y1" s="6"/>
      <c r="Z1" s="119"/>
      <c r="AA1" s="119"/>
      <c r="AB1" s="6" t="s">
        <v>0</v>
      </c>
      <c r="AC1" s="6"/>
    </row>
    <row r="2" spans="1:40" ht="13.9" customHeight="1">
      <c r="Y2" s="6"/>
      <c r="Z2" s="263"/>
      <c r="AA2" s="263"/>
      <c r="AB2" s="109" t="s">
        <v>325</v>
      </c>
      <c r="AC2" s="109"/>
    </row>
    <row r="3" spans="1:40">
      <c r="C3" s="8"/>
      <c r="Y3" s="6"/>
      <c r="Z3" s="119"/>
      <c r="AA3" s="119"/>
      <c r="AB3" s="6" t="s">
        <v>326</v>
      </c>
      <c r="AC3" s="6"/>
    </row>
    <row r="4" spans="1:40">
      <c r="C4" s="8"/>
      <c r="N4" s="8"/>
      <c r="Y4" s="6"/>
      <c r="Z4" s="119"/>
      <c r="AA4" s="119"/>
      <c r="AB4" s="6" t="s">
        <v>327</v>
      </c>
      <c r="AC4" s="6"/>
    </row>
    <row r="5" spans="1:40">
      <c r="B5" s="8"/>
      <c r="C5" s="8"/>
      <c r="D5" s="8"/>
      <c r="Y5" s="10"/>
      <c r="Z5" s="119"/>
      <c r="AA5" s="119"/>
      <c r="AB5" s="118" t="s">
        <v>322</v>
      </c>
    </row>
    <row r="6" spans="1:40">
      <c r="B6" s="8"/>
      <c r="C6" s="8"/>
      <c r="D6" s="8"/>
      <c r="Y6" s="10"/>
      <c r="Z6" s="10"/>
      <c r="AA6" s="10"/>
      <c r="AB6" s="118"/>
    </row>
    <row r="7" spans="1:40"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</row>
    <row r="8" spans="1:40">
      <c r="B8" s="303" t="s">
        <v>15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</row>
    <row r="9" spans="1:40" ht="13.5" thickBo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</row>
    <row r="10" spans="1:40" ht="72">
      <c r="A10" s="11" t="s">
        <v>16</v>
      </c>
      <c r="B10" s="11" t="s">
        <v>17</v>
      </c>
      <c r="C10" s="12" t="s">
        <v>18</v>
      </c>
      <c r="D10" s="13" t="s">
        <v>19</v>
      </c>
      <c r="E10" s="13" t="s">
        <v>20</v>
      </c>
      <c r="F10" s="13" t="s">
        <v>21</v>
      </c>
      <c r="G10" s="13" t="s">
        <v>22</v>
      </c>
      <c r="H10" s="13" t="s">
        <v>23</v>
      </c>
      <c r="I10" s="13" t="s">
        <v>24</v>
      </c>
      <c r="J10" s="13" t="s">
        <v>25</v>
      </c>
      <c r="K10" s="14" t="s">
        <v>26</v>
      </c>
      <c r="L10" s="13" t="s">
        <v>27</v>
      </c>
      <c r="M10" s="13" t="s">
        <v>28</v>
      </c>
      <c r="N10" s="13" t="s">
        <v>29</v>
      </c>
      <c r="O10" s="13" t="s">
        <v>30</v>
      </c>
      <c r="P10" s="13" t="s">
        <v>31</v>
      </c>
      <c r="Q10" s="13" t="s">
        <v>32</v>
      </c>
      <c r="R10" s="13" t="s">
        <v>33</v>
      </c>
      <c r="S10" s="13" t="s">
        <v>34</v>
      </c>
      <c r="T10" s="13" t="s">
        <v>35</v>
      </c>
      <c r="U10" s="13" t="s">
        <v>36</v>
      </c>
      <c r="V10" s="13" t="s">
        <v>37</v>
      </c>
      <c r="W10" s="13" t="s">
        <v>38</v>
      </c>
      <c r="X10" s="13" t="s">
        <v>39</v>
      </c>
      <c r="Y10" s="15" t="s">
        <v>40</v>
      </c>
      <c r="Z10" s="15" t="s">
        <v>41</v>
      </c>
      <c r="AA10" s="15" t="s">
        <v>42</v>
      </c>
      <c r="AB10" s="15" t="s">
        <v>43</v>
      </c>
      <c r="AC10" s="15" t="s">
        <v>44</v>
      </c>
    </row>
    <row r="11" spans="1:40">
      <c r="A11" s="16"/>
      <c r="B11" s="16"/>
      <c r="C11" s="17"/>
      <c r="D11" s="18">
        <v>2111</v>
      </c>
      <c r="E11" s="18">
        <v>2121</v>
      </c>
      <c r="F11" s="18">
        <v>22111</v>
      </c>
      <c r="G11" s="18">
        <v>22122</v>
      </c>
      <c r="H11" s="18">
        <v>2213</v>
      </c>
      <c r="I11" s="18">
        <v>2214</v>
      </c>
      <c r="J11" s="18">
        <v>22152</v>
      </c>
      <c r="K11" s="18">
        <v>2215</v>
      </c>
      <c r="L11" s="18">
        <v>2217</v>
      </c>
      <c r="M11" s="18">
        <v>2218</v>
      </c>
      <c r="N11" s="18">
        <v>222111</v>
      </c>
      <c r="O11" s="18">
        <v>2222</v>
      </c>
      <c r="P11" s="18">
        <v>2223</v>
      </c>
      <c r="Q11" s="18">
        <v>22241</v>
      </c>
      <c r="R11" s="18">
        <v>22311100</v>
      </c>
      <c r="S11" s="18">
        <v>22311200</v>
      </c>
      <c r="T11" s="18">
        <v>22311300</v>
      </c>
      <c r="U11" s="18">
        <v>22311400</v>
      </c>
      <c r="V11" s="18">
        <v>2511</v>
      </c>
      <c r="W11" s="18">
        <v>2721</v>
      </c>
      <c r="X11" s="18" t="s">
        <v>45</v>
      </c>
      <c r="Y11" s="19">
        <v>3111</v>
      </c>
      <c r="Z11" s="19">
        <v>3112</v>
      </c>
      <c r="AA11" s="19">
        <v>3113</v>
      </c>
      <c r="AB11" s="20" t="s">
        <v>46</v>
      </c>
      <c r="AC11" s="19">
        <v>3314</v>
      </c>
    </row>
    <row r="12" spans="1:40">
      <c r="A12" s="21"/>
      <c r="B12" s="22"/>
      <c r="C12" s="22">
        <f>'Т 1'!O53-Т2!C13</f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40">
      <c r="A13" s="24"/>
      <c r="B13" s="24" t="s">
        <v>47</v>
      </c>
      <c r="C13" s="25">
        <f>SUM(D13:AC13)</f>
        <v>622835</v>
      </c>
      <c r="D13" s="25">
        <f t="shared" ref="D13:AC13" si="0">SUM(D21,D24,D27,D35,D41,D50,D56,D61)</f>
        <v>166258</v>
      </c>
      <c r="E13" s="25">
        <f t="shared" si="0"/>
        <v>24439.599999999999</v>
      </c>
      <c r="F13" s="25">
        <f t="shared" si="0"/>
        <v>7853.3</v>
      </c>
      <c r="G13" s="25">
        <f t="shared" si="0"/>
        <v>1325.2</v>
      </c>
      <c r="H13" s="25">
        <f t="shared" si="0"/>
        <v>510</v>
      </c>
      <c r="I13" s="25">
        <f t="shared" si="0"/>
        <v>43678.7</v>
      </c>
      <c r="J13" s="25">
        <f t="shared" si="0"/>
        <v>0</v>
      </c>
      <c r="K13" s="25">
        <f t="shared" si="0"/>
        <v>34489</v>
      </c>
      <c r="L13" s="25">
        <f t="shared" si="0"/>
        <v>155</v>
      </c>
      <c r="M13" s="25">
        <f t="shared" si="0"/>
        <v>35385.799999999996</v>
      </c>
      <c r="N13" s="25">
        <f t="shared" si="0"/>
        <v>5810.2000000000007</v>
      </c>
      <c r="O13" s="25">
        <f t="shared" si="0"/>
        <v>31852.899999999994</v>
      </c>
      <c r="P13" s="25">
        <f t="shared" si="0"/>
        <v>1377.1999999999998</v>
      </c>
      <c r="Q13" s="25">
        <f t="shared" si="0"/>
        <v>6900</v>
      </c>
      <c r="R13" s="25">
        <f t="shared" si="0"/>
        <v>11431.7</v>
      </c>
      <c r="S13" s="25">
        <f t="shared" si="0"/>
        <v>22149</v>
      </c>
      <c r="T13" s="25">
        <f t="shared" si="0"/>
        <v>24920.9</v>
      </c>
      <c r="U13" s="25">
        <f t="shared" si="0"/>
        <v>494.4</v>
      </c>
      <c r="V13" s="25">
        <f t="shared" si="0"/>
        <v>33355.599999999999</v>
      </c>
      <c r="W13" s="25">
        <f t="shared" si="0"/>
        <v>16849.900000000001</v>
      </c>
      <c r="X13" s="25">
        <f t="shared" si="0"/>
        <v>3160</v>
      </c>
      <c r="Y13" s="25">
        <f t="shared" si="0"/>
        <v>104294.1</v>
      </c>
      <c r="Z13" s="25">
        <f t="shared" si="0"/>
        <v>20984.199999999997</v>
      </c>
      <c r="AA13" s="25">
        <f t="shared" si="0"/>
        <v>2918</v>
      </c>
      <c r="AB13" s="25">
        <f t="shared" si="0"/>
        <v>22242.3</v>
      </c>
      <c r="AC13" s="25">
        <f t="shared" si="0"/>
        <v>0</v>
      </c>
      <c r="AD13" s="8"/>
      <c r="AE13" s="8"/>
      <c r="AF13" s="8"/>
      <c r="AG13" s="8"/>
      <c r="AH13" s="8"/>
      <c r="AI13" s="8"/>
      <c r="AJ13" s="8"/>
      <c r="AN13" s="8"/>
    </row>
    <row r="14" spans="1:40" ht="16.5" customHeight="1">
      <c r="A14" s="21">
        <v>1</v>
      </c>
      <c r="B14" s="21" t="s">
        <v>48</v>
      </c>
      <c r="C14" s="22">
        <f t="shared" ref="C14:C19" si="1">SUM(D14:AC14)</f>
        <v>42811.9</v>
      </c>
      <c r="D14" s="26">
        <f>18376.5+68</f>
        <v>18444.5</v>
      </c>
      <c r="E14" s="26">
        <f>2526.9+10.2</f>
        <v>2537.1</v>
      </c>
      <c r="F14" s="26">
        <v>700</v>
      </c>
      <c r="G14" s="26">
        <v>199.8</v>
      </c>
      <c r="H14" s="26"/>
      <c r="I14" s="26">
        <f>706.2+41.8</f>
        <v>748</v>
      </c>
      <c r="J14" s="26"/>
      <c r="K14" s="26">
        <f>3246.1+2000+500-876.4</f>
        <v>4869.7000000000007</v>
      </c>
      <c r="L14" s="26">
        <v>10</v>
      </c>
      <c r="M14" s="26">
        <v>100.1</v>
      </c>
      <c r="N14" s="26">
        <v>54.1</v>
      </c>
      <c r="O14" s="26">
        <f>390.3+724.5</f>
        <v>1114.8</v>
      </c>
      <c r="P14" s="26"/>
      <c r="Q14" s="26"/>
      <c r="R14" s="26">
        <v>87</v>
      </c>
      <c r="S14" s="26">
        <v>1270.9000000000001</v>
      </c>
      <c r="T14" s="26"/>
      <c r="U14" s="26"/>
      <c r="V14" s="26"/>
      <c r="W14" s="26"/>
      <c r="X14" s="26">
        <f>100+50+3000</f>
        <v>3150</v>
      </c>
      <c r="Y14" s="26">
        <v>6977.6</v>
      </c>
      <c r="Z14" s="26">
        <f>1548.3+1000</f>
        <v>2548.3000000000002</v>
      </c>
      <c r="AA14" s="26"/>
      <c r="AB14" s="26"/>
      <c r="AC14" s="26"/>
      <c r="AD14" s="8"/>
      <c r="AE14" s="8"/>
    </row>
    <row r="15" spans="1:40" s="30" customFormat="1" ht="13.5">
      <c r="A15" s="27"/>
      <c r="B15" s="117" t="s">
        <v>176</v>
      </c>
      <c r="C15" s="28">
        <f t="shared" si="1"/>
        <v>3000</v>
      </c>
      <c r="D15" s="29"/>
      <c r="E15" s="29"/>
      <c r="F15" s="29"/>
      <c r="G15" s="29"/>
      <c r="H15" s="29"/>
      <c r="I15" s="29"/>
      <c r="J15" s="29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8">
        <v>3000</v>
      </c>
      <c r="Y15" s="22"/>
      <c r="Z15" s="22"/>
      <c r="AA15" s="22"/>
      <c r="AB15" s="22"/>
      <c r="AC15" s="26"/>
      <c r="AD15" s="8"/>
      <c r="AE15" s="8"/>
      <c r="AN15" s="125"/>
    </row>
    <row r="16" spans="1:40" ht="12.4" customHeight="1">
      <c r="A16" s="21">
        <v>2</v>
      </c>
      <c r="B16" s="21" t="s">
        <v>49</v>
      </c>
      <c r="C16" s="22">
        <f t="shared" si="1"/>
        <v>6689.7999999999993</v>
      </c>
      <c r="D16" s="26">
        <f>5083.4+62.5</f>
        <v>5145.8999999999996</v>
      </c>
      <c r="E16" s="26">
        <f>694.2+9.3</f>
        <v>703.5</v>
      </c>
      <c r="F16" s="26">
        <v>121.8</v>
      </c>
      <c r="G16" s="26">
        <v>80</v>
      </c>
      <c r="H16" s="26"/>
      <c r="I16" s="26">
        <v>290.2</v>
      </c>
      <c r="J16" s="26"/>
      <c r="K16" s="26">
        <v>132</v>
      </c>
      <c r="L16" s="26"/>
      <c r="M16" s="26"/>
      <c r="N16" s="26"/>
      <c r="O16" s="26">
        <v>106.4</v>
      </c>
      <c r="P16" s="26"/>
      <c r="Q16" s="26"/>
      <c r="R16" s="26"/>
      <c r="S16" s="26"/>
      <c r="T16" s="26"/>
      <c r="U16" s="26"/>
      <c r="V16" s="26"/>
      <c r="W16" s="26"/>
      <c r="X16" s="26">
        <v>10</v>
      </c>
      <c r="Y16" s="26"/>
      <c r="Z16" s="26">
        <v>100</v>
      </c>
      <c r="AA16" s="26"/>
      <c r="AB16" s="26"/>
      <c r="AC16" s="26"/>
      <c r="AD16" s="8"/>
      <c r="AE16" s="8"/>
    </row>
    <row r="17" spans="1:39" s="33" customFormat="1" ht="25.5">
      <c r="A17" s="31" t="s">
        <v>50</v>
      </c>
      <c r="B17" s="32" t="s">
        <v>51</v>
      </c>
      <c r="C17" s="26">
        <f t="shared" si="1"/>
        <v>7377.3</v>
      </c>
      <c r="D17" s="26">
        <v>5655.1</v>
      </c>
      <c r="E17" s="26">
        <v>766.5</v>
      </c>
      <c r="F17" s="26"/>
      <c r="G17" s="26">
        <v>65.099999999999994</v>
      </c>
      <c r="H17" s="26"/>
      <c r="I17" s="26">
        <v>154</v>
      </c>
      <c r="J17" s="26"/>
      <c r="K17" s="26">
        <v>348.9</v>
      </c>
      <c r="L17" s="26"/>
      <c r="M17" s="26"/>
      <c r="N17" s="26"/>
      <c r="O17" s="26">
        <v>260</v>
      </c>
      <c r="P17" s="26"/>
      <c r="Q17" s="26"/>
      <c r="R17" s="26"/>
      <c r="S17" s="26">
        <v>77.7</v>
      </c>
      <c r="T17" s="26">
        <v>50</v>
      </c>
      <c r="U17" s="26"/>
      <c r="V17" s="26"/>
      <c r="W17" s="26"/>
      <c r="X17" s="26"/>
      <c r="Y17" s="26"/>
      <c r="Z17" s="26"/>
      <c r="AA17" s="26"/>
      <c r="AB17" s="26"/>
      <c r="AC17" s="26"/>
      <c r="AD17" s="8"/>
      <c r="AE17" s="8"/>
    </row>
    <row r="18" spans="1:39">
      <c r="A18" s="21">
        <v>4</v>
      </c>
      <c r="B18" s="21" t="s">
        <v>52</v>
      </c>
      <c r="C18" s="22">
        <f t="shared" si="1"/>
        <v>8924.6</v>
      </c>
      <c r="D18" s="26">
        <v>6943.2</v>
      </c>
      <c r="E18" s="26">
        <v>926.5</v>
      </c>
      <c r="F18" s="26">
        <v>60</v>
      </c>
      <c r="G18" s="26">
        <v>35.700000000000003</v>
      </c>
      <c r="H18" s="26"/>
      <c r="I18" s="26">
        <v>251.6</v>
      </c>
      <c r="J18" s="26"/>
      <c r="K18" s="26">
        <f>146.5-40</f>
        <v>106.5</v>
      </c>
      <c r="L18" s="26"/>
      <c r="M18" s="26"/>
      <c r="N18" s="26">
        <v>40</v>
      </c>
      <c r="O18" s="26">
        <v>105.1</v>
      </c>
      <c r="P18" s="26"/>
      <c r="Q18" s="26"/>
      <c r="R18" s="26">
        <v>6</v>
      </c>
      <c r="S18" s="26">
        <v>80</v>
      </c>
      <c r="T18" s="26"/>
      <c r="U18" s="26"/>
      <c r="V18" s="26"/>
      <c r="W18" s="26"/>
      <c r="X18" s="26"/>
      <c r="Y18" s="26"/>
      <c r="Z18" s="26">
        <f>70+300</f>
        <v>370</v>
      </c>
      <c r="AA18" s="26"/>
      <c r="AB18" s="26"/>
      <c r="AC18" s="26"/>
      <c r="AD18" s="8"/>
      <c r="AE18" s="8"/>
    </row>
    <row r="19" spans="1:39" ht="27.75" customHeight="1">
      <c r="A19" s="21">
        <v>5</v>
      </c>
      <c r="B19" s="34" t="s">
        <v>53</v>
      </c>
      <c r="C19" s="22">
        <f t="shared" si="1"/>
        <v>6685.7</v>
      </c>
      <c r="D19" s="26">
        <v>5923.5</v>
      </c>
      <c r="E19" s="26">
        <v>762.2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8"/>
      <c r="AE19" s="8"/>
    </row>
    <row r="20" spans="1:39">
      <c r="A20" s="21"/>
      <c r="B20" s="34"/>
      <c r="C20" s="2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8"/>
      <c r="AE20" s="8"/>
    </row>
    <row r="21" spans="1:39">
      <c r="A21" s="24">
        <v>701</v>
      </c>
      <c r="B21" s="24" t="s">
        <v>54</v>
      </c>
      <c r="C21" s="25">
        <f>SUM(D21:AC21)</f>
        <v>72489.3</v>
      </c>
      <c r="D21" s="25">
        <f>SUM(D14:D20)-D15</f>
        <v>42112.2</v>
      </c>
      <c r="E21" s="25">
        <f t="shared" ref="E21:AB21" si="2">SUM(E14:E20)-E15</f>
        <v>5695.8</v>
      </c>
      <c r="F21" s="25">
        <f t="shared" si="2"/>
        <v>881.8</v>
      </c>
      <c r="G21" s="25">
        <f t="shared" si="2"/>
        <v>380.59999999999997</v>
      </c>
      <c r="H21" s="25">
        <f t="shared" si="2"/>
        <v>0</v>
      </c>
      <c r="I21" s="25">
        <f t="shared" si="2"/>
        <v>1443.8</v>
      </c>
      <c r="J21" s="25">
        <f t="shared" si="2"/>
        <v>0</v>
      </c>
      <c r="K21" s="25">
        <f t="shared" si="2"/>
        <v>5457.1</v>
      </c>
      <c r="L21" s="25">
        <f t="shared" si="2"/>
        <v>10</v>
      </c>
      <c r="M21" s="25">
        <f t="shared" si="2"/>
        <v>100.1</v>
      </c>
      <c r="N21" s="25">
        <f t="shared" si="2"/>
        <v>94.1</v>
      </c>
      <c r="O21" s="25">
        <f t="shared" si="2"/>
        <v>1586.3</v>
      </c>
      <c r="P21" s="25">
        <f t="shared" si="2"/>
        <v>0</v>
      </c>
      <c r="Q21" s="25">
        <f t="shared" si="2"/>
        <v>0</v>
      </c>
      <c r="R21" s="25">
        <f t="shared" si="2"/>
        <v>93</v>
      </c>
      <c r="S21" s="25">
        <f t="shared" si="2"/>
        <v>1428.6000000000001</v>
      </c>
      <c r="T21" s="25">
        <f t="shared" si="2"/>
        <v>50</v>
      </c>
      <c r="U21" s="25">
        <f t="shared" si="2"/>
        <v>0</v>
      </c>
      <c r="V21" s="25">
        <f t="shared" si="2"/>
        <v>0</v>
      </c>
      <c r="W21" s="25">
        <f t="shared" si="2"/>
        <v>0</v>
      </c>
      <c r="X21" s="25">
        <f t="shared" si="2"/>
        <v>3160</v>
      </c>
      <c r="Y21" s="25">
        <f t="shared" si="2"/>
        <v>6977.6</v>
      </c>
      <c r="Z21" s="25">
        <f t="shared" si="2"/>
        <v>3018.3</v>
      </c>
      <c r="AA21" s="25">
        <f t="shared" si="2"/>
        <v>0</v>
      </c>
      <c r="AB21" s="25">
        <f t="shared" si="2"/>
        <v>0</v>
      </c>
      <c r="AC21" s="25">
        <f t="shared" ref="AC21" si="3">SUM(AC14:AC20)</f>
        <v>0</v>
      </c>
      <c r="AD21" s="8"/>
      <c r="AE21" s="8"/>
    </row>
    <row r="22" spans="1:39" ht="7.5" customHeight="1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8"/>
      <c r="AE22" s="8"/>
    </row>
    <row r="23" spans="1:39">
      <c r="A23" s="21">
        <v>6</v>
      </c>
      <c r="B23" s="21" t="s">
        <v>55</v>
      </c>
      <c r="C23" s="22">
        <f>SUM(D23:AC23)</f>
        <v>4138.9000000000005</v>
      </c>
      <c r="D23" s="26">
        <v>2905.8</v>
      </c>
      <c r="E23" s="26">
        <v>434.4</v>
      </c>
      <c r="F23" s="26"/>
      <c r="G23" s="26">
        <v>80</v>
      </c>
      <c r="H23" s="26"/>
      <c r="I23" s="26">
        <v>110</v>
      </c>
      <c r="J23" s="26"/>
      <c r="K23" s="26">
        <v>114</v>
      </c>
      <c r="L23" s="26"/>
      <c r="M23" s="26"/>
      <c r="N23" s="26">
        <v>80</v>
      </c>
      <c r="O23" s="26">
        <v>100</v>
      </c>
      <c r="P23" s="26"/>
      <c r="Q23" s="26">
        <v>90</v>
      </c>
      <c r="R23" s="26">
        <v>108.5</v>
      </c>
      <c r="S23" s="26">
        <v>76.2</v>
      </c>
      <c r="T23" s="26"/>
      <c r="U23" s="26">
        <v>40</v>
      </c>
      <c r="V23" s="26"/>
      <c r="W23" s="26"/>
      <c r="X23" s="26"/>
      <c r="Y23" s="26"/>
      <c r="Z23" s="26"/>
      <c r="AA23" s="26"/>
      <c r="AB23" s="26"/>
      <c r="AC23" s="26"/>
      <c r="AD23" s="8"/>
      <c r="AE23" s="8"/>
    </row>
    <row r="24" spans="1:39">
      <c r="A24" s="24">
        <v>702</v>
      </c>
      <c r="B24" s="24" t="s">
        <v>54</v>
      </c>
      <c r="C24" s="25">
        <f>SUM(D24:AC24)</f>
        <v>4138.9000000000005</v>
      </c>
      <c r="D24" s="25">
        <f t="shared" ref="D24:Y24" si="4">SUM(D23:D23)</f>
        <v>2905.8</v>
      </c>
      <c r="E24" s="25">
        <f t="shared" si="4"/>
        <v>434.4</v>
      </c>
      <c r="F24" s="25">
        <f t="shared" si="4"/>
        <v>0</v>
      </c>
      <c r="G24" s="25">
        <f t="shared" si="4"/>
        <v>80</v>
      </c>
      <c r="H24" s="25">
        <f t="shared" si="4"/>
        <v>0</v>
      </c>
      <c r="I24" s="25">
        <f t="shared" si="4"/>
        <v>110</v>
      </c>
      <c r="J24" s="25">
        <f t="shared" si="4"/>
        <v>0</v>
      </c>
      <c r="K24" s="25">
        <f t="shared" si="4"/>
        <v>114</v>
      </c>
      <c r="L24" s="25">
        <f t="shared" si="4"/>
        <v>0</v>
      </c>
      <c r="M24" s="25">
        <f t="shared" si="4"/>
        <v>0</v>
      </c>
      <c r="N24" s="25">
        <f t="shared" si="4"/>
        <v>80</v>
      </c>
      <c r="O24" s="25">
        <f t="shared" si="4"/>
        <v>100</v>
      </c>
      <c r="P24" s="25">
        <f t="shared" si="4"/>
        <v>0</v>
      </c>
      <c r="Q24" s="25">
        <f t="shared" si="4"/>
        <v>90</v>
      </c>
      <c r="R24" s="25">
        <f t="shared" si="4"/>
        <v>108.5</v>
      </c>
      <c r="S24" s="25">
        <f t="shared" si="4"/>
        <v>76.2</v>
      </c>
      <c r="T24" s="25">
        <f t="shared" si="4"/>
        <v>0</v>
      </c>
      <c r="U24" s="25">
        <f t="shared" si="4"/>
        <v>40</v>
      </c>
      <c r="V24" s="25">
        <f t="shared" si="4"/>
        <v>0</v>
      </c>
      <c r="W24" s="25">
        <f t="shared" si="4"/>
        <v>0</v>
      </c>
      <c r="X24" s="25">
        <f t="shared" si="4"/>
        <v>0</v>
      </c>
      <c r="Y24" s="25">
        <f t="shared" si="4"/>
        <v>0</v>
      </c>
      <c r="Z24" s="25">
        <f>SUM(Z23:Z23)</f>
        <v>0</v>
      </c>
      <c r="AA24" s="25">
        <f>SUM(AA23:AA23)</f>
        <v>0</v>
      </c>
      <c r="AB24" s="25">
        <f>SUM(AB23:AB23)</f>
        <v>0</v>
      </c>
      <c r="AC24" s="25">
        <f>SUM(AC23:AC23)</f>
        <v>0</v>
      </c>
      <c r="AD24" s="8"/>
      <c r="AE24" s="8"/>
    </row>
    <row r="25" spans="1:39" ht="7.5" customHeight="1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8"/>
      <c r="AE25" s="8"/>
    </row>
    <row r="26" spans="1:39" hidden="1">
      <c r="A26" s="21">
        <v>6</v>
      </c>
      <c r="B26" s="21" t="s">
        <v>56</v>
      </c>
      <c r="C26" s="22">
        <f>SUM(D26:Y26)</f>
        <v>0</v>
      </c>
      <c r="D26" s="25"/>
      <c r="E26" s="25"/>
      <c r="F26" s="25"/>
      <c r="G26" s="25"/>
      <c r="H26" s="25"/>
      <c r="I26" s="25"/>
      <c r="J26" s="25"/>
      <c r="K26" s="22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2"/>
      <c r="Y26" s="22"/>
      <c r="Z26" s="22"/>
      <c r="AA26" s="22"/>
      <c r="AB26" s="22"/>
      <c r="AC26" s="22"/>
      <c r="AD26" s="8"/>
      <c r="AE26" s="8"/>
    </row>
    <row r="27" spans="1:39" hidden="1">
      <c r="A27" s="24">
        <v>703</v>
      </c>
      <c r="B27" s="24" t="s">
        <v>54</v>
      </c>
      <c r="C27" s="25">
        <f>SUM(D27:Y27)</f>
        <v>0</v>
      </c>
      <c r="D27" s="25">
        <f t="shared" ref="D27:Y27" si="5">SUM(D26:D26)</f>
        <v>0</v>
      </c>
      <c r="E27" s="25">
        <f t="shared" si="5"/>
        <v>0</v>
      </c>
      <c r="F27" s="25">
        <f t="shared" si="5"/>
        <v>0</v>
      </c>
      <c r="G27" s="25">
        <f t="shared" si="5"/>
        <v>0</v>
      </c>
      <c r="H27" s="25">
        <f t="shared" si="5"/>
        <v>0</v>
      </c>
      <c r="I27" s="25">
        <f t="shared" si="5"/>
        <v>0</v>
      </c>
      <c r="J27" s="25">
        <f t="shared" si="5"/>
        <v>0</v>
      </c>
      <c r="K27" s="25">
        <f t="shared" si="5"/>
        <v>0</v>
      </c>
      <c r="L27" s="25">
        <f t="shared" si="5"/>
        <v>0</v>
      </c>
      <c r="M27" s="25">
        <f t="shared" si="5"/>
        <v>0</v>
      </c>
      <c r="N27" s="25">
        <f t="shared" si="5"/>
        <v>0</v>
      </c>
      <c r="O27" s="25">
        <f t="shared" si="5"/>
        <v>0</v>
      </c>
      <c r="P27" s="25">
        <f t="shared" si="5"/>
        <v>0</v>
      </c>
      <c r="Q27" s="25">
        <f t="shared" si="5"/>
        <v>0</v>
      </c>
      <c r="R27" s="25">
        <f t="shared" si="5"/>
        <v>0</v>
      </c>
      <c r="S27" s="25">
        <f t="shared" si="5"/>
        <v>0</v>
      </c>
      <c r="T27" s="25">
        <f t="shared" si="5"/>
        <v>0</v>
      </c>
      <c r="U27" s="25">
        <f t="shared" si="5"/>
        <v>0</v>
      </c>
      <c r="V27" s="25"/>
      <c r="W27" s="25">
        <f t="shared" si="5"/>
        <v>0</v>
      </c>
      <c r="X27" s="25">
        <f>SUM(X26:X26)</f>
        <v>0</v>
      </c>
      <c r="Y27" s="25">
        <f t="shared" si="5"/>
        <v>0</v>
      </c>
      <c r="Z27" s="25">
        <f>SUM(Z26:Z26)</f>
        <v>0</v>
      </c>
      <c r="AA27" s="25">
        <f>SUM(AA26:AA26)</f>
        <v>0</v>
      </c>
      <c r="AB27" s="25">
        <f>SUM(AB26:AB26)</f>
        <v>0</v>
      </c>
      <c r="AC27" s="25">
        <f>SUM(AC26:AC26)</f>
        <v>0</v>
      </c>
      <c r="AD27" s="8"/>
      <c r="AE27" s="8"/>
    </row>
    <row r="28" spans="1:39" hidden="1">
      <c r="A28" s="24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8"/>
      <c r="AE28" s="8"/>
    </row>
    <row r="29" spans="1:39" ht="25.5">
      <c r="A29" s="21">
        <v>7</v>
      </c>
      <c r="B29" s="34" t="s">
        <v>57</v>
      </c>
      <c r="C29" s="22">
        <f t="shared" ref="C29:C30" si="6">SUM(D29:AC29)</f>
        <v>78983.5</v>
      </c>
      <c r="D29" s="26">
        <f>20829</f>
        <v>20829</v>
      </c>
      <c r="E29" s="26">
        <v>3190.4</v>
      </c>
      <c r="F29" s="26">
        <f>30+100</f>
        <v>130</v>
      </c>
      <c r="G29" s="26">
        <v>30</v>
      </c>
      <c r="H29" s="26">
        <v>450</v>
      </c>
      <c r="I29" s="26">
        <v>11909.5</v>
      </c>
      <c r="J29" s="26"/>
      <c r="K29" s="26">
        <f>2236.7+200-100</f>
        <v>2336.6999999999998</v>
      </c>
      <c r="L29" s="26"/>
      <c r="M29" s="26"/>
      <c r="N29" s="26">
        <f>900.7+400</f>
        <v>1300.7</v>
      </c>
      <c r="O29" s="26">
        <v>12909.6</v>
      </c>
      <c r="P29" s="26">
        <v>297.39999999999998</v>
      </c>
      <c r="Q29" s="26">
        <v>1240</v>
      </c>
      <c r="R29" s="26">
        <v>93</v>
      </c>
      <c r="S29" s="26">
        <v>1156.0999999999999</v>
      </c>
      <c r="T29" s="26"/>
      <c r="U29" s="26"/>
      <c r="V29" s="26"/>
      <c r="W29" s="26"/>
      <c r="X29" s="26"/>
      <c r="Y29" s="26"/>
      <c r="Z29" s="26">
        <v>1661.1</v>
      </c>
      <c r="AA29" s="26"/>
      <c r="AB29" s="26">
        <f>19250+2500-300</f>
        <v>21450</v>
      </c>
      <c r="AC29" s="26"/>
      <c r="AD29" s="8"/>
      <c r="AE29" s="8"/>
      <c r="AF29" s="8"/>
      <c r="AG29" s="8"/>
      <c r="AH29" s="8"/>
    </row>
    <row r="30" spans="1:39" s="30" customFormat="1" ht="25.5" hidden="1">
      <c r="A30" s="27" t="s">
        <v>58</v>
      </c>
      <c r="B30" s="35" t="s">
        <v>59</v>
      </c>
      <c r="C30" s="26">
        <f t="shared" si="6"/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8"/>
      <c r="AE30" s="8"/>
    </row>
    <row r="31" spans="1:39" ht="25.5">
      <c r="A31" s="21">
        <v>8</v>
      </c>
      <c r="B31" s="34" t="s">
        <v>60</v>
      </c>
      <c r="C31" s="22">
        <f>SUM(D31:AC31)</f>
        <v>52711.899999999994</v>
      </c>
      <c r="D31" s="26">
        <v>4286.5</v>
      </c>
      <c r="E31" s="26">
        <f>633.8+7</f>
        <v>640.79999999999995</v>
      </c>
      <c r="F31" s="26">
        <v>27.3</v>
      </c>
      <c r="G31" s="26">
        <v>34</v>
      </c>
      <c r="H31" s="26"/>
      <c r="I31" s="26">
        <v>295.5</v>
      </c>
      <c r="J31" s="26"/>
      <c r="K31" s="26">
        <f>5033.7-1500</f>
        <v>3533.7</v>
      </c>
      <c r="L31" s="26"/>
      <c r="M31" s="26"/>
      <c r="N31" s="26"/>
      <c r="O31" s="26">
        <v>38.5</v>
      </c>
      <c r="P31" s="26"/>
      <c r="Q31" s="26"/>
      <c r="R31" s="26"/>
      <c r="S31" s="26"/>
      <c r="T31" s="26"/>
      <c r="U31" s="26"/>
      <c r="V31" s="26"/>
      <c r="W31" s="26"/>
      <c r="X31" s="26"/>
      <c r="Y31" s="22">
        <f>158512.1-107929.1+2220.2+1500-10447.6</f>
        <v>43855.6</v>
      </c>
      <c r="Z31" s="26"/>
      <c r="AA31" s="26"/>
      <c r="AB31" s="26"/>
      <c r="AC31" s="26"/>
      <c r="AD31" s="8"/>
      <c r="AE31" s="8"/>
      <c r="AF31" s="8"/>
      <c r="AG31" s="8"/>
      <c r="AH31" s="8"/>
      <c r="AI31" s="8"/>
      <c r="AK31" s="8"/>
      <c r="AM31" s="8"/>
    </row>
    <row r="32" spans="1:39">
      <c r="A32" s="21">
        <v>9</v>
      </c>
      <c r="B32" s="21" t="s">
        <v>61</v>
      </c>
      <c r="C32" s="22">
        <f t="shared" ref="C32:C41" si="7">SUM(D32:AC32)</f>
        <v>1885</v>
      </c>
      <c r="D32" s="26">
        <v>1441.5</v>
      </c>
      <c r="E32" s="26">
        <v>215.5</v>
      </c>
      <c r="F32" s="26">
        <v>86.4</v>
      </c>
      <c r="G32" s="26">
        <v>21.3</v>
      </c>
      <c r="H32" s="26"/>
      <c r="I32" s="26">
        <v>88</v>
      </c>
      <c r="J32" s="25"/>
      <c r="K32" s="22">
        <v>10.3</v>
      </c>
      <c r="L32" s="25"/>
      <c r="M32" s="25"/>
      <c r="N32" s="25"/>
      <c r="O32" s="26">
        <v>12</v>
      </c>
      <c r="P32" s="26"/>
      <c r="Q32" s="25"/>
      <c r="R32" s="25"/>
      <c r="S32" s="25"/>
      <c r="T32" s="25"/>
      <c r="U32" s="25"/>
      <c r="V32" s="25"/>
      <c r="W32" s="25"/>
      <c r="X32" s="22"/>
      <c r="Y32" s="22"/>
      <c r="Z32" s="22">
        <v>10</v>
      </c>
      <c r="AA32" s="26"/>
      <c r="AB32" s="26"/>
      <c r="AC32" s="26"/>
      <c r="AD32" s="8"/>
      <c r="AE32" s="8"/>
      <c r="AM32" s="8"/>
    </row>
    <row r="33" spans="1:35">
      <c r="A33" s="21">
        <v>10</v>
      </c>
      <c r="B33" s="21" t="s">
        <v>62</v>
      </c>
      <c r="C33" s="22">
        <f t="shared" si="7"/>
        <v>8500</v>
      </c>
      <c r="D33" s="25"/>
      <c r="E33" s="25"/>
      <c r="F33" s="25"/>
      <c r="G33" s="25"/>
      <c r="H33" s="25"/>
      <c r="I33" s="25"/>
      <c r="J33" s="25"/>
      <c r="K33" s="22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6">
        <v>8500</v>
      </c>
      <c r="W33" s="25"/>
      <c r="X33" s="22"/>
      <c r="Y33" s="22"/>
      <c r="Z33" s="22"/>
      <c r="AA33" s="22"/>
      <c r="AB33" s="22"/>
      <c r="AC33" s="22"/>
      <c r="AD33" s="8"/>
      <c r="AE33" s="8"/>
    </row>
    <row r="34" spans="1:35">
      <c r="A34" s="21">
        <v>11</v>
      </c>
      <c r="B34" s="21" t="s">
        <v>63</v>
      </c>
      <c r="C34" s="22">
        <f t="shared" si="7"/>
        <v>13923</v>
      </c>
      <c r="D34" s="25"/>
      <c r="E34" s="25"/>
      <c r="F34" s="25"/>
      <c r="G34" s="25"/>
      <c r="H34" s="25"/>
      <c r="I34" s="25"/>
      <c r="J34" s="25"/>
      <c r="K34" s="2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2"/>
      <c r="W34" s="25"/>
      <c r="X34" s="22">
        <f>6200-200-2700-1900-1200-200</f>
        <v>0</v>
      </c>
      <c r="Y34" s="22">
        <v>13923</v>
      </c>
      <c r="Z34" s="22"/>
      <c r="AA34" s="22"/>
      <c r="AB34" s="22"/>
      <c r="AC34" s="22"/>
      <c r="AD34" s="8"/>
      <c r="AE34" s="8"/>
    </row>
    <row r="35" spans="1:35">
      <c r="A35" s="24">
        <v>704</v>
      </c>
      <c r="B35" s="24" t="s">
        <v>54</v>
      </c>
      <c r="C35" s="25">
        <f t="shared" si="7"/>
        <v>156003.4</v>
      </c>
      <c r="D35" s="36">
        <f t="shared" ref="D35:AC35" si="8">SUM(D29:D34)</f>
        <v>26557</v>
      </c>
      <c r="E35" s="36">
        <f t="shared" si="8"/>
        <v>4046.7</v>
      </c>
      <c r="F35" s="36">
        <f t="shared" si="8"/>
        <v>243.70000000000002</v>
      </c>
      <c r="G35" s="36">
        <f t="shared" si="8"/>
        <v>85.3</v>
      </c>
      <c r="H35" s="36">
        <f t="shared" si="8"/>
        <v>450</v>
      </c>
      <c r="I35" s="36">
        <f t="shared" si="8"/>
        <v>12293</v>
      </c>
      <c r="J35" s="36">
        <f t="shared" si="8"/>
        <v>0</v>
      </c>
      <c r="K35" s="36">
        <f t="shared" si="8"/>
        <v>5880.7</v>
      </c>
      <c r="L35" s="36">
        <f t="shared" si="8"/>
        <v>0</v>
      </c>
      <c r="M35" s="36">
        <f t="shared" si="8"/>
        <v>0</v>
      </c>
      <c r="N35" s="36">
        <f t="shared" si="8"/>
        <v>1300.7</v>
      </c>
      <c r="O35" s="36">
        <f t="shared" si="8"/>
        <v>12960.1</v>
      </c>
      <c r="P35" s="36">
        <f t="shared" si="8"/>
        <v>297.39999999999998</v>
      </c>
      <c r="Q35" s="36">
        <f t="shared" si="8"/>
        <v>1240</v>
      </c>
      <c r="R35" s="36">
        <f t="shared" si="8"/>
        <v>93</v>
      </c>
      <c r="S35" s="36">
        <f t="shared" si="8"/>
        <v>1156.0999999999999</v>
      </c>
      <c r="T35" s="36">
        <f t="shared" si="8"/>
        <v>0</v>
      </c>
      <c r="U35" s="36">
        <f t="shared" si="8"/>
        <v>0</v>
      </c>
      <c r="V35" s="36">
        <f t="shared" si="8"/>
        <v>8500</v>
      </c>
      <c r="W35" s="36">
        <f t="shared" si="8"/>
        <v>0</v>
      </c>
      <c r="X35" s="36">
        <f t="shared" si="8"/>
        <v>0</v>
      </c>
      <c r="Y35" s="36">
        <f t="shared" si="8"/>
        <v>57778.6</v>
      </c>
      <c r="Z35" s="36">
        <f t="shared" si="8"/>
        <v>1671.1</v>
      </c>
      <c r="AA35" s="36">
        <f t="shared" si="8"/>
        <v>0</v>
      </c>
      <c r="AB35" s="36">
        <f t="shared" si="8"/>
        <v>21450</v>
      </c>
      <c r="AC35" s="36">
        <f t="shared" si="8"/>
        <v>0</v>
      </c>
      <c r="AD35" s="8"/>
      <c r="AE35" s="8"/>
    </row>
    <row r="36" spans="1:35">
      <c r="A36" s="21">
        <v>12</v>
      </c>
      <c r="B36" s="37" t="s">
        <v>64</v>
      </c>
      <c r="C36" s="22">
        <f t="shared" si="7"/>
        <v>88516.6</v>
      </c>
      <c r="D36" s="26">
        <v>20487.3</v>
      </c>
      <c r="E36" s="26">
        <v>3068.3</v>
      </c>
      <c r="F36" s="26">
        <v>20</v>
      </c>
      <c r="G36" s="26">
        <v>6</v>
      </c>
      <c r="H36" s="26"/>
      <c r="I36" s="26">
        <v>4635.2</v>
      </c>
      <c r="J36" s="26"/>
      <c r="K36" s="26">
        <v>2395.1</v>
      </c>
      <c r="L36" s="26"/>
      <c r="M36" s="26"/>
      <c r="N36" s="26">
        <v>1625</v>
      </c>
      <c r="O36" s="26">
        <f>10584.6+1500</f>
        <v>12084.6</v>
      </c>
      <c r="P36" s="26">
        <v>157.5</v>
      </c>
      <c r="Q36" s="26">
        <v>35</v>
      </c>
      <c r="R36" s="26">
        <v>600</v>
      </c>
      <c r="S36" s="26">
        <v>7112.6</v>
      </c>
      <c r="T36" s="26"/>
      <c r="U36" s="26"/>
      <c r="V36" s="26"/>
      <c r="W36" s="26"/>
      <c r="X36" s="26"/>
      <c r="Y36" s="26">
        <v>27500</v>
      </c>
      <c r="Z36" s="26">
        <v>8790</v>
      </c>
      <c r="AA36" s="26"/>
      <c r="AB36" s="26"/>
      <c r="AC36" s="26"/>
      <c r="AD36" s="8"/>
      <c r="AE36" s="8"/>
    </row>
    <row r="37" spans="1:35" s="33" customFormat="1">
      <c r="A37" s="38">
        <v>13</v>
      </c>
      <c r="B37" s="38" t="s">
        <v>65</v>
      </c>
      <c r="C37" s="26">
        <f t="shared" si="7"/>
        <v>53340.100000000006</v>
      </c>
      <c r="D37" s="26">
        <f>26257.2-156.7</f>
        <v>26100.5</v>
      </c>
      <c r="E37" s="26">
        <f>4033.3-22.2</f>
        <v>4011.1000000000004</v>
      </c>
      <c r="F37" s="26">
        <v>25</v>
      </c>
      <c r="G37" s="26">
        <v>16.8</v>
      </c>
      <c r="H37" s="26"/>
      <c r="I37" s="26">
        <v>5727.2</v>
      </c>
      <c r="J37" s="26"/>
      <c r="K37" s="26">
        <v>2265.8000000000002</v>
      </c>
      <c r="L37" s="26"/>
      <c r="M37" s="26"/>
      <c r="N37" s="26"/>
      <c r="O37" s="26">
        <v>2544.6999999999998</v>
      </c>
      <c r="P37" s="26">
        <v>257.3</v>
      </c>
      <c r="Q37" s="26">
        <v>84</v>
      </c>
      <c r="R37" s="26">
        <v>2296.8000000000002</v>
      </c>
      <c r="S37" s="26">
        <v>151.9</v>
      </c>
      <c r="T37" s="26"/>
      <c r="U37" s="26"/>
      <c r="V37" s="26"/>
      <c r="W37" s="26"/>
      <c r="X37" s="26"/>
      <c r="Y37" s="26">
        <v>5874</v>
      </c>
      <c r="Z37" s="26">
        <f>1767-700</f>
        <v>1067</v>
      </c>
      <c r="AA37" s="26">
        <v>2918</v>
      </c>
      <c r="AB37" s="26"/>
      <c r="AC37" s="26"/>
      <c r="AD37" s="8"/>
      <c r="AE37" s="8"/>
      <c r="AF37" s="137"/>
      <c r="AH37" s="137"/>
      <c r="AI37" s="126"/>
    </row>
    <row r="38" spans="1:35">
      <c r="A38" s="21">
        <v>14</v>
      </c>
      <c r="B38" s="37" t="s">
        <v>66</v>
      </c>
      <c r="C38" s="22">
        <f t="shared" si="7"/>
        <v>29433.5</v>
      </c>
      <c r="D38" s="26">
        <v>8087.7</v>
      </c>
      <c r="E38" s="26">
        <v>1395.1</v>
      </c>
      <c r="F38" s="26"/>
      <c r="G38" s="26"/>
      <c r="H38" s="26"/>
      <c r="I38" s="26">
        <v>18798.2</v>
      </c>
      <c r="J38" s="26"/>
      <c r="K38" s="26"/>
      <c r="L38" s="26"/>
      <c r="M38" s="26"/>
      <c r="N38" s="26"/>
      <c r="O38" s="26">
        <v>924.5</v>
      </c>
      <c r="P38" s="26">
        <v>228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8"/>
      <c r="AE38" s="8"/>
    </row>
    <row r="39" spans="1:35" ht="25.5">
      <c r="A39" s="38">
        <v>15</v>
      </c>
      <c r="B39" s="34" t="s">
        <v>104</v>
      </c>
      <c r="C39" s="22">
        <f t="shared" si="7"/>
        <v>36112.100000000006</v>
      </c>
      <c r="D39" s="26">
        <f>20564.5-667.1</f>
        <v>19897.400000000001</v>
      </c>
      <c r="E39" s="26">
        <f>2814.1-99.7</f>
        <v>2714.4</v>
      </c>
      <c r="F39" s="26">
        <v>100</v>
      </c>
      <c r="G39" s="26">
        <v>103.8</v>
      </c>
      <c r="H39" s="26"/>
      <c r="I39" s="26">
        <v>250.1</v>
      </c>
      <c r="J39" s="26"/>
      <c r="K39" s="26">
        <v>5551</v>
      </c>
      <c r="L39" s="26"/>
      <c r="M39" s="26"/>
      <c r="N39" s="26">
        <v>50</v>
      </c>
      <c r="O39" s="26">
        <v>198.9</v>
      </c>
      <c r="P39" s="26">
        <v>42</v>
      </c>
      <c r="Q39" s="26"/>
      <c r="R39" s="26"/>
      <c r="S39" s="26"/>
      <c r="T39" s="26"/>
      <c r="U39" s="26"/>
      <c r="V39" s="26"/>
      <c r="W39" s="26"/>
      <c r="X39" s="26"/>
      <c r="Y39" s="26">
        <f>7663.9-1500</f>
        <v>6163.9</v>
      </c>
      <c r="Z39" s="26">
        <v>248.3</v>
      </c>
      <c r="AA39" s="26"/>
      <c r="AB39" s="26">
        <v>792.3</v>
      </c>
      <c r="AC39" s="22"/>
      <c r="AD39" s="8"/>
      <c r="AE39" s="8"/>
    </row>
    <row r="40" spans="1:35" ht="25.5">
      <c r="A40" s="21">
        <v>16</v>
      </c>
      <c r="B40" s="34" t="s">
        <v>67</v>
      </c>
      <c r="C40" s="22">
        <f t="shared" si="7"/>
        <v>21150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>
        <f>18300+2850</f>
        <v>21150</v>
      </c>
      <c r="W40" s="26"/>
      <c r="X40" s="26"/>
      <c r="Y40" s="26"/>
      <c r="Z40" s="26"/>
      <c r="AA40" s="26"/>
      <c r="AB40" s="26"/>
      <c r="AC40" s="26"/>
      <c r="AD40" s="8"/>
      <c r="AE40" s="8"/>
    </row>
    <row r="41" spans="1:35">
      <c r="A41" s="24">
        <v>706</v>
      </c>
      <c r="B41" s="24" t="s">
        <v>54</v>
      </c>
      <c r="C41" s="25">
        <f t="shared" si="7"/>
        <v>228552.29999999993</v>
      </c>
      <c r="D41" s="25">
        <f t="shared" ref="D41:AC41" si="9">SUM(D36:D40)</f>
        <v>74572.899999999994</v>
      </c>
      <c r="E41" s="25">
        <f t="shared" si="9"/>
        <v>11188.9</v>
      </c>
      <c r="F41" s="25">
        <f t="shared" si="9"/>
        <v>145</v>
      </c>
      <c r="G41" s="25">
        <f t="shared" si="9"/>
        <v>126.6</v>
      </c>
      <c r="H41" s="25">
        <f t="shared" si="9"/>
        <v>0</v>
      </c>
      <c r="I41" s="25">
        <f t="shared" si="9"/>
        <v>29410.699999999997</v>
      </c>
      <c r="J41" s="25">
        <f t="shared" si="9"/>
        <v>0</v>
      </c>
      <c r="K41" s="25">
        <f t="shared" si="9"/>
        <v>10211.9</v>
      </c>
      <c r="L41" s="25">
        <f t="shared" si="9"/>
        <v>0</v>
      </c>
      <c r="M41" s="25">
        <f t="shared" si="9"/>
        <v>0</v>
      </c>
      <c r="N41" s="25">
        <f t="shared" si="9"/>
        <v>1675</v>
      </c>
      <c r="O41" s="25">
        <f t="shared" si="9"/>
        <v>15752.699999999999</v>
      </c>
      <c r="P41" s="25">
        <f t="shared" si="9"/>
        <v>684.8</v>
      </c>
      <c r="Q41" s="25">
        <f t="shared" si="9"/>
        <v>119</v>
      </c>
      <c r="R41" s="25">
        <f t="shared" si="9"/>
        <v>2896.8</v>
      </c>
      <c r="S41" s="25">
        <f t="shared" si="9"/>
        <v>7264.5</v>
      </c>
      <c r="T41" s="25">
        <f t="shared" si="9"/>
        <v>0</v>
      </c>
      <c r="U41" s="25">
        <f t="shared" si="9"/>
        <v>0</v>
      </c>
      <c r="V41" s="25">
        <f t="shared" si="9"/>
        <v>21150</v>
      </c>
      <c r="W41" s="25">
        <f t="shared" si="9"/>
        <v>0</v>
      </c>
      <c r="X41" s="25">
        <f t="shared" si="9"/>
        <v>0</v>
      </c>
      <c r="Y41" s="25">
        <f t="shared" si="9"/>
        <v>39537.9</v>
      </c>
      <c r="Z41" s="25">
        <f t="shared" si="9"/>
        <v>10105.299999999999</v>
      </c>
      <c r="AA41" s="25">
        <f t="shared" si="9"/>
        <v>2918</v>
      </c>
      <c r="AB41" s="25">
        <f t="shared" si="9"/>
        <v>792.3</v>
      </c>
      <c r="AC41" s="25">
        <f t="shared" si="9"/>
        <v>0</v>
      </c>
      <c r="AD41" s="8"/>
      <c r="AE41" s="8"/>
    </row>
    <row r="42" spans="1:35" ht="8.4499999999999993" customHeight="1">
      <c r="A42" s="24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8"/>
      <c r="AE42" s="8"/>
    </row>
    <row r="43" spans="1:35">
      <c r="A43" s="21">
        <v>17</v>
      </c>
      <c r="B43" s="21" t="s">
        <v>68</v>
      </c>
      <c r="C43" s="22">
        <f t="shared" ref="C43:C50" si="10">SUM(D43:AC43)</f>
        <v>5144.3</v>
      </c>
      <c r="D43" s="22">
        <v>2316.8000000000002</v>
      </c>
      <c r="E43" s="22">
        <v>399.7</v>
      </c>
      <c r="F43" s="22">
        <v>15</v>
      </c>
      <c r="G43" s="22">
        <v>17.600000000000001</v>
      </c>
      <c r="H43" s="22"/>
      <c r="I43" s="22">
        <v>30</v>
      </c>
      <c r="J43" s="22"/>
      <c r="K43" s="22">
        <f>2168.5-200</f>
        <v>1968.5</v>
      </c>
      <c r="L43" s="22"/>
      <c r="M43" s="39"/>
      <c r="N43" s="22">
        <v>80</v>
      </c>
      <c r="O43" s="22">
        <v>22.2</v>
      </c>
      <c r="P43" s="22">
        <v>75</v>
      </c>
      <c r="Q43" s="22"/>
      <c r="R43" s="22">
        <f>28.5+8</f>
        <v>36.5</v>
      </c>
      <c r="S43" s="22">
        <v>183</v>
      </c>
      <c r="T43" s="22"/>
      <c r="U43" s="22"/>
      <c r="V43" s="22"/>
      <c r="W43" s="22"/>
      <c r="X43" s="22"/>
      <c r="Y43" s="22"/>
      <c r="Z43" s="22"/>
      <c r="AA43" s="22"/>
      <c r="AB43" s="26"/>
      <c r="AC43" s="22"/>
      <c r="AD43" s="8"/>
      <c r="AE43" s="8"/>
    </row>
    <row r="44" spans="1:35">
      <c r="A44" s="21">
        <v>18</v>
      </c>
      <c r="B44" s="21" t="s">
        <v>69</v>
      </c>
      <c r="C44" s="22">
        <f t="shared" si="10"/>
        <v>0</v>
      </c>
      <c r="D44" s="22"/>
      <c r="E44" s="22"/>
      <c r="F44" s="22"/>
      <c r="G44" s="22"/>
      <c r="H44" s="22"/>
      <c r="I44" s="22"/>
      <c r="J44" s="22"/>
      <c r="K44" s="22"/>
      <c r="L44" s="22"/>
      <c r="M44" s="39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8"/>
      <c r="AE44" s="8"/>
    </row>
    <row r="45" spans="1:35">
      <c r="A45" s="21">
        <v>19</v>
      </c>
      <c r="B45" s="21" t="s">
        <v>70</v>
      </c>
      <c r="C45" s="22">
        <f t="shared" si="10"/>
        <v>1534.3</v>
      </c>
      <c r="D45" s="26">
        <v>1242.2</v>
      </c>
      <c r="E45" s="26">
        <v>214.3</v>
      </c>
      <c r="F45" s="26">
        <v>15</v>
      </c>
      <c r="G45" s="26">
        <v>13.2</v>
      </c>
      <c r="H45" s="26"/>
      <c r="I45" s="26"/>
      <c r="J45" s="26"/>
      <c r="K45" s="26">
        <v>29.6</v>
      </c>
      <c r="L45" s="26"/>
      <c r="M45" s="26"/>
      <c r="N45" s="26"/>
      <c r="O45" s="26">
        <v>5</v>
      </c>
      <c r="P45" s="26"/>
      <c r="Q45" s="26"/>
      <c r="R45" s="26">
        <v>5</v>
      </c>
      <c r="S45" s="26">
        <f>25-15</f>
        <v>10</v>
      </c>
      <c r="T45" s="26"/>
      <c r="U45" s="26"/>
      <c r="V45" s="26"/>
      <c r="W45" s="26"/>
      <c r="X45" s="26"/>
      <c r="Y45" s="26"/>
      <c r="Z45" s="26"/>
      <c r="AA45" s="26"/>
      <c r="AB45" s="26"/>
      <c r="AC45" s="22"/>
      <c r="AD45" s="8"/>
      <c r="AE45" s="8"/>
    </row>
    <row r="46" spans="1:35">
      <c r="A46" s="21">
        <v>20</v>
      </c>
      <c r="B46" s="21" t="s">
        <v>71</v>
      </c>
      <c r="C46" s="22">
        <f t="shared" si="10"/>
        <v>4903.2</v>
      </c>
      <c r="D46" s="26">
        <v>3639.9</v>
      </c>
      <c r="E46" s="26">
        <v>544.1</v>
      </c>
      <c r="F46" s="26"/>
      <c r="G46" s="26">
        <v>17.399999999999999</v>
      </c>
      <c r="H46" s="26">
        <v>40</v>
      </c>
      <c r="I46" s="26">
        <v>98.1</v>
      </c>
      <c r="J46" s="26"/>
      <c r="K46" s="26">
        <v>376.2</v>
      </c>
      <c r="L46" s="26"/>
      <c r="M46" s="26"/>
      <c r="N46" s="26"/>
      <c r="O46" s="26">
        <v>4.5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>
        <v>183</v>
      </c>
      <c r="AA46" s="26"/>
      <c r="AB46" s="22"/>
      <c r="AC46" s="22"/>
      <c r="AD46" s="8"/>
      <c r="AE46" s="8"/>
    </row>
    <row r="47" spans="1:35" ht="26.25" customHeight="1">
      <c r="A47" s="21">
        <v>21</v>
      </c>
      <c r="B47" s="34" t="s">
        <v>144</v>
      </c>
      <c r="C47" s="22">
        <f t="shared" si="10"/>
        <v>14614.9</v>
      </c>
      <c r="D47" s="26">
        <f>1728.7+0.7</f>
        <v>1729.4</v>
      </c>
      <c r="E47" s="26">
        <v>224</v>
      </c>
      <c r="F47" s="26">
        <v>5109</v>
      </c>
      <c r="G47" s="26"/>
      <c r="H47" s="26"/>
      <c r="I47" s="26"/>
      <c r="J47" s="26"/>
      <c r="K47" s="26">
        <f>4174+300</f>
        <v>4474</v>
      </c>
      <c r="L47" s="26"/>
      <c r="M47" s="26">
        <v>3000</v>
      </c>
      <c r="N47" s="26"/>
      <c r="O47" s="22">
        <v>18.5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>
        <v>60</v>
      </c>
      <c r="AA47" s="26"/>
      <c r="AB47" s="26"/>
      <c r="AC47" s="22"/>
      <c r="AD47" s="8"/>
      <c r="AE47" s="8"/>
    </row>
    <row r="48" spans="1:35">
      <c r="A48" s="21">
        <v>22</v>
      </c>
      <c r="B48" s="21" t="s">
        <v>72</v>
      </c>
      <c r="C48" s="22">
        <f>SUM(D48:AC48)</f>
        <v>5286.1</v>
      </c>
      <c r="D48" s="26">
        <v>3787.2</v>
      </c>
      <c r="E48" s="26">
        <v>566.20000000000005</v>
      </c>
      <c r="F48" s="26"/>
      <c r="G48" s="26">
        <v>19.8</v>
      </c>
      <c r="H48" s="26"/>
      <c r="I48" s="26">
        <v>28.1</v>
      </c>
      <c r="J48" s="26"/>
      <c r="K48" s="26">
        <v>132.5</v>
      </c>
      <c r="L48" s="26"/>
      <c r="M48" s="26"/>
      <c r="N48" s="26"/>
      <c r="O48" s="26">
        <v>142.4</v>
      </c>
      <c r="P48" s="26"/>
      <c r="Q48" s="26"/>
      <c r="R48" s="26">
        <v>353.8</v>
      </c>
      <c r="S48" s="26">
        <v>237.6</v>
      </c>
      <c r="T48" s="26"/>
      <c r="U48" s="26"/>
      <c r="V48" s="26"/>
      <c r="W48" s="26"/>
      <c r="X48" s="26"/>
      <c r="Y48" s="26"/>
      <c r="Z48" s="26">
        <v>18.5</v>
      </c>
      <c r="AA48" s="26"/>
      <c r="AB48" s="22"/>
      <c r="AC48" s="22"/>
      <c r="AD48" s="8"/>
      <c r="AE48" s="8"/>
    </row>
    <row r="49" spans="1:31">
      <c r="A49" s="21">
        <v>23</v>
      </c>
      <c r="B49" s="21" t="s">
        <v>163</v>
      </c>
      <c r="C49" s="22">
        <f t="shared" si="10"/>
        <v>2026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>
        <v>2026</v>
      </c>
      <c r="W49" s="26"/>
      <c r="X49" s="26"/>
      <c r="Y49" s="26"/>
      <c r="Z49" s="26"/>
      <c r="AA49" s="26"/>
      <c r="AB49" s="22"/>
      <c r="AC49" s="22"/>
      <c r="AD49" s="8"/>
      <c r="AE49" s="8"/>
    </row>
    <row r="50" spans="1:31">
      <c r="A50" s="24">
        <v>708</v>
      </c>
      <c r="B50" s="24" t="s">
        <v>54</v>
      </c>
      <c r="C50" s="25">
        <f t="shared" si="10"/>
        <v>33508.799999999996</v>
      </c>
      <c r="D50" s="25">
        <f t="shared" ref="D50:AC50" si="11">SUM(D43:D49)</f>
        <v>12715.5</v>
      </c>
      <c r="E50" s="25">
        <f t="shared" si="11"/>
        <v>1948.3</v>
      </c>
      <c r="F50" s="25">
        <f t="shared" si="11"/>
        <v>5139</v>
      </c>
      <c r="G50" s="25">
        <f t="shared" si="11"/>
        <v>68</v>
      </c>
      <c r="H50" s="25">
        <f t="shared" si="11"/>
        <v>40</v>
      </c>
      <c r="I50" s="25">
        <f t="shared" si="11"/>
        <v>156.19999999999999</v>
      </c>
      <c r="J50" s="25">
        <f t="shared" si="11"/>
        <v>0</v>
      </c>
      <c r="K50" s="25">
        <f t="shared" si="11"/>
        <v>6980.7999999999993</v>
      </c>
      <c r="L50" s="25">
        <f t="shared" si="11"/>
        <v>0</v>
      </c>
      <c r="M50" s="25">
        <f t="shared" si="11"/>
        <v>3000</v>
      </c>
      <c r="N50" s="25">
        <f t="shared" si="11"/>
        <v>80</v>
      </c>
      <c r="O50" s="25">
        <f t="shared" si="11"/>
        <v>192.60000000000002</v>
      </c>
      <c r="P50" s="25">
        <f t="shared" si="11"/>
        <v>75</v>
      </c>
      <c r="Q50" s="25">
        <f t="shared" si="11"/>
        <v>0</v>
      </c>
      <c r="R50" s="25">
        <f t="shared" si="11"/>
        <v>395.3</v>
      </c>
      <c r="S50" s="25">
        <f t="shared" si="11"/>
        <v>430.6</v>
      </c>
      <c r="T50" s="25">
        <f t="shared" si="11"/>
        <v>0</v>
      </c>
      <c r="U50" s="25">
        <f t="shared" si="11"/>
        <v>0</v>
      </c>
      <c r="V50" s="25">
        <f t="shared" si="11"/>
        <v>2026</v>
      </c>
      <c r="W50" s="25">
        <f t="shared" si="11"/>
        <v>0</v>
      </c>
      <c r="X50" s="25">
        <f t="shared" si="11"/>
        <v>0</v>
      </c>
      <c r="Y50" s="25">
        <f t="shared" si="11"/>
        <v>0</v>
      </c>
      <c r="Z50" s="25">
        <f t="shared" si="11"/>
        <v>261.5</v>
      </c>
      <c r="AA50" s="25">
        <f t="shared" si="11"/>
        <v>0</v>
      </c>
      <c r="AB50" s="25">
        <f t="shared" si="11"/>
        <v>0</v>
      </c>
      <c r="AC50" s="25">
        <f t="shared" si="11"/>
        <v>0</v>
      </c>
      <c r="AD50" s="8"/>
      <c r="AE50" s="8"/>
    </row>
    <row r="51" spans="1:31" ht="5.25" customHeight="1">
      <c r="A51" s="24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8"/>
      <c r="AE51" s="8"/>
    </row>
    <row r="52" spans="1:31">
      <c r="A52" s="21">
        <v>24</v>
      </c>
      <c r="B52" s="21" t="s">
        <v>74</v>
      </c>
      <c r="C52" s="22">
        <f t="shared" ref="C52:C56" si="12">SUM(D52:AC52)</f>
        <v>47227.3</v>
      </c>
      <c r="D52" s="26"/>
      <c r="E52" s="26"/>
      <c r="F52" s="26"/>
      <c r="G52" s="26">
        <v>47.7</v>
      </c>
      <c r="H52" s="26"/>
      <c r="I52" s="26"/>
      <c r="J52" s="26"/>
      <c r="K52" s="26">
        <v>3311.6</v>
      </c>
      <c r="L52" s="26"/>
      <c r="M52" s="26"/>
      <c r="N52" s="26">
        <v>1712.6</v>
      </c>
      <c r="O52" s="26">
        <v>500</v>
      </c>
      <c r="P52" s="26"/>
      <c r="Q52" s="26">
        <v>3406</v>
      </c>
      <c r="R52" s="26">
        <v>4402.3999999999996</v>
      </c>
      <c r="S52" s="26">
        <v>6587.8</v>
      </c>
      <c r="T52" s="26">
        <v>12924.2</v>
      </c>
      <c r="U52" s="26"/>
      <c r="V52" s="26"/>
      <c r="W52" s="26">
        <f>2720+8160</f>
        <v>10880</v>
      </c>
      <c r="X52" s="26"/>
      <c r="Y52" s="26"/>
      <c r="Z52" s="26">
        <f>2105+1350</f>
        <v>3455</v>
      </c>
      <c r="AA52" s="26"/>
      <c r="AB52" s="26"/>
      <c r="AC52" s="26"/>
      <c r="AD52" s="8"/>
      <c r="AE52" s="8"/>
    </row>
    <row r="53" spans="1:31">
      <c r="A53" s="21">
        <v>25</v>
      </c>
      <c r="B53" s="21" t="s">
        <v>75</v>
      </c>
      <c r="C53" s="22">
        <f t="shared" si="12"/>
        <v>64510.7</v>
      </c>
      <c r="D53" s="26">
        <v>2717.7</v>
      </c>
      <c r="E53" s="26">
        <v>401.8</v>
      </c>
      <c r="F53" s="26">
        <v>64.8</v>
      </c>
      <c r="G53" s="26">
        <v>484</v>
      </c>
      <c r="H53" s="26"/>
      <c r="I53" s="26">
        <v>172.6</v>
      </c>
      <c r="J53" s="26"/>
      <c r="K53" s="26">
        <v>2239.9</v>
      </c>
      <c r="L53" s="26">
        <v>130</v>
      </c>
      <c r="M53" s="26">
        <v>29598.6</v>
      </c>
      <c r="N53" s="26">
        <v>782.7</v>
      </c>
      <c r="O53" s="26">
        <v>650</v>
      </c>
      <c r="P53" s="26">
        <v>180</v>
      </c>
      <c r="Q53" s="26">
        <v>2045</v>
      </c>
      <c r="R53" s="26">
        <v>3328.8</v>
      </c>
      <c r="S53" s="26">
        <v>4569.6000000000004</v>
      </c>
      <c r="T53" s="26">
        <v>11946.7</v>
      </c>
      <c r="U53" s="26">
        <v>440</v>
      </c>
      <c r="V53" s="26"/>
      <c r="W53" s="26">
        <f>580+1740</f>
        <v>2320</v>
      </c>
      <c r="X53" s="26"/>
      <c r="Y53" s="26"/>
      <c r="Z53" s="26">
        <f>2238.5+200</f>
        <v>2438.5</v>
      </c>
      <c r="AA53" s="26"/>
      <c r="AB53" s="26"/>
      <c r="AC53" s="26"/>
      <c r="AD53" s="8"/>
      <c r="AE53" s="8"/>
    </row>
    <row r="54" spans="1:31">
      <c r="A54" s="21">
        <v>26</v>
      </c>
      <c r="B54" s="21" t="s">
        <v>76</v>
      </c>
      <c r="C54" s="22">
        <f t="shared" si="12"/>
        <v>3335.6</v>
      </c>
      <c r="D54" s="26"/>
      <c r="E54" s="26"/>
      <c r="F54" s="26">
        <v>1369</v>
      </c>
      <c r="G54" s="26">
        <v>16.8</v>
      </c>
      <c r="H54" s="26"/>
      <c r="I54" s="26"/>
      <c r="J54" s="26"/>
      <c r="K54" s="26">
        <v>141.6</v>
      </c>
      <c r="L54" s="26">
        <v>15</v>
      </c>
      <c r="M54" s="26">
        <v>400.5</v>
      </c>
      <c r="N54" s="26">
        <v>85.1</v>
      </c>
      <c r="O54" s="26">
        <v>51.1</v>
      </c>
      <c r="P54" s="26">
        <v>140</v>
      </c>
      <c r="Q54" s="26"/>
      <c r="R54" s="26">
        <v>53.9</v>
      </c>
      <c r="S54" s="26">
        <v>542.6</v>
      </c>
      <c r="T54" s="26"/>
      <c r="U54" s="26"/>
      <c r="V54" s="26"/>
      <c r="W54" s="26">
        <f>130+390</f>
        <v>520</v>
      </c>
      <c r="X54" s="26"/>
      <c r="Y54" s="26"/>
      <c r="Z54" s="26"/>
      <c r="AA54" s="26"/>
      <c r="AB54" s="26"/>
      <c r="AC54" s="26"/>
      <c r="AD54" s="8"/>
      <c r="AE54" s="8"/>
    </row>
    <row r="55" spans="1:31">
      <c r="A55" s="21">
        <v>27</v>
      </c>
      <c r="B55" s="21" t="s">
        <v>100</v>
      </c>
      <c r="C55" s="22">
        <f t="shared" si="12"/>
        <v>1679.6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>
        <f>1542.6+137</f>
        <v>1679.6</v>
      </c>
      <c r="W55" s="26"/>
      <c r="X55" s="26"/>
      <c r="Y55" s="26"/>
      <c r="Z55" s="26"/>
      <c r="AA55" s="26"/>
      <c r="AB55" s="26"/>
      <c r="AC55" s="26"/>
      <c r="AD55" s="8"/>
      <c r="AE55" s="8"/>
    </row>
    <row r="56" spans="1:31">
      <c r="A56" s="24">
        <v>709</v>
      </c>
      <c r="B56" s="24" t="s">
        <v>54</v>
      </c>
      <c r="C56" s="25">
        <f t="shared" si="12"/>
        <v>116753.20000000001</v>
      </c>
      <c r="D56" s="25">
        <f t="shared" ref="D56:AC56" si="13">SUM(D52:D55)</f>
        <v>2717.7</v>
      </c>
      <c r="E56" s="25">
        <f t="shared" si="13"/>
        <v>401.8</v>
      </c>
      <c r="F56" s="25">
        <f t="shared" si="13"/>
        <v>1433.8</v>
      </c>
      <c r="G56" s="25">
        <f t="shared" si="13"/>
        <v>548.5</v>
      </c>
      <c r="H56" s="25">
        <f t="shared" si="13"/>
        <v>0</v>
      </c>
      <c r="I56" s="25">
        <f t="shared" si="13"/>
        <v>172.6</v>
      </c>
      <c r="J56" s="25">
        <f t="shared" si="13"/>
        <v>0</v>
      </c>
      <c r="K56" s="25">
        <f t="shared" si="13"/>
        <v>5693.1</v>
      </c>
      <c r="L56" s="25">
        <f t="shared" si="13"/>
        <v>145</v>
      </c>
      <c r="M56" s="25">
        <f t="shared" si="13"/>
        <v>29999.1</v>
      </c>
      <c r="N56" s="25">
        <f t="shared" si="13"/>
        <v>2580.4</v>
      </c>
      <c r="O56" s="25">
        <f t="shared" si="13"/>
        <v>1201.0999999999999</v>
      </c>
      <c r="P56" s="25">
        <f t="shared" si="13"/>
        <v>320</v>
      </c>
      <c r="Q56" s="25">
        <f t="shared" si="13"/>
        <v>5451</v>
      </c>
      <c r="R56" s="25">
        <f t="shared" si="13"/>
        <v>7785.0999999999995</v>
      </c>
      <c r="S56" s="25">
        <f t="shared" si="13"/>
        <v>11700.000000000002</v>
      </c>
      <c r="T56" s="25">
        <f t="shared" si="13"/>
        <v>24870.9</v>
      </c>
      <c r="U56" s="25">
        <f t="shared" si="13"/>
        <v>440</v>
      </c>
      <c r="V56" s="25">
        <f t="shared" si="13"/>
        <v>1679.6</v>
      </c>
      <c r="W56" s="25">
        <f t="shared" si="13"/>
        <v>13720</v>
      </c>
      <c r="X56" s="25">
        <f t="shared" si="13"/>
        <v>0</v>
      </c>
      <c r="Y56" s="25">
        <f t="shared" si="13"/>
        <v>0</v>
      </c>
      <c r="Z56" s="25">
        <f t="shared" si="13"/>
        <v>5893.5</v>
      </c>
      <c r="AA56" s="25">
        <f t="shared" si="13"/>
        <v>0</v>
      </c>
      <c r="AB56" s="25">
        <f t="shared" si="13"/>
        <v>0</v>
      </c>
      <c r="AC56" s="25">
        <f t="shared" si="13"/>
        <v>0</v>
      </c>
      <c r="AD56" s="8"/>
      <c r="AE56" s="8"/>
    </row>
    <row r="57" spans="1:31" ht="6" customHeight="1">
      <c r="A57" s="24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8"/>
      <c r="AE57" s="8"/>
    </row>
    <row r="58" spans="1:31" s="33" customFormat="1">
      <c r="A58" s="38">
        <v>28</v>
      </c>
      <c r="B58" s="38" t="s">
        <v>105</v>
      </c>
      <c r="C58" s="22">
        <f>SUM(D58:AC58)</f>
        <v>720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>
        <v>720</v>
      </c>
      <c r="X58" s="26"/>
      <c r="Y58" s="26"/>
      <c r="Z58" s="26"/>
      <c r="AA58" s="26"/>
      <c r="AB58" s="26"/>
      <c r="AC58" s="26"/>
      <c r="AD58" s="8"/>
      <c r="AE58" s="8"/>
    </row>
    <row r="59" spans="1:31">
      <c r="A59" s="21">
        <v>29</v>
      </c>
      <c r="B59" s="21" t="s">
        <v>77</v>
      </c>
      <c r="C59" s="22">
        <f>SUM(D59:AC59)</f>
        <v>9521.1999999999989</v>
      </c>
      <c r="D59" s="26">
        <f>3942-128.8</f>
        <v>3813.2</v>
      </c>
      <c r="E59" s="26">
        <f>596.9-22.2</f>
        <v>574.69999999999993</v>
      </c>
      <c r="F59" s="26"/>
      <c r="G59" s="26">
        <v>20.399999999999999</v>
      </c>
      <c r="H59" s="26">
        <v>20</v>
      </c>
      <c r="I59" s="26">
        <v>92.4</v>
      </c>
      <c r="J59" s="26"/>
      <c r="K59" s="26">
        <v>103.9</v>
      </c>
      <c r="L59" s="26"/>
      <c r="M59" s="26">
        <v>2286.6</v>
      </c>
      <c r="N59" s="26"/>
      <c r="O59" s="26">
        <v>55.7</v>
      </c>
      <c r="P59" s="26"/>
      <c r="Q59" s="26"/>
      <c r="R59" s="26">
        <v>60</v>
      </c>
      <c r="S59" s="26">
        <v>70</v>
      </c>
      <c r="T59" s="26"/>
      <c r="U59" s="26">
        <v>14.4</v>
      </c>
      <c r="V59" s="26"/>
      <c r="W59" s="26">
        <v>2409.9</v>
      </c>
      <c r="X59" s="26"/>
      <c r="Y59" s="26"/>
      <c r="Z59" s="26"/>
      <c r="AA59" s="26"/>
      <c r="AB59" s="26"/>
      <c r="AC59" s="26"/>
      <c r="AD59" s="8"/>
      <c r="AE59" s="8"/>
    </row>
    <row r="60" spans="1:31">
      <c r="A60" s="21">
        <v>30</v>
      </c>
      <c r="B60" s="21" t="s">
        <v>78</v>
      </c>
      <c r="C60" s="22">
        <f>SUM(D60:AC60)</f>
        <v>1147.9000000000001</v>
      </c>
      <c r="D60" s="26">
        <v>863.7</v>
      </c>
      <c r="E60" s="26">
        <v>149</v>
      </c>
      <c r="F60" s="26">
        <v>10</v>
      </c>
      <c r="G60" s="26">
        <v>15.8</v>
      </c>
      <c r="H60" s="26"/>
      <c r="I60" s="26"/>
      <c r="J60" s="26"/>
      <c r="K60" s="26">
        <v>47.5</v>
      </c>
      <c r="L60" s="26"/>
      <c r="M60" s="26"/>
      <c r="N60" s="26"/>
      <c r="O60" s="26">
        <v>4.4000000000000004</v>
      </c>
      <c r="P60" s="26"/>
      <c r="Q60" s="26"/>
      <c r="R60" s="26"/>
      <c r="S60" s="26">
        <v>23</v>
      </c>
      <c r="T60" s="26"/>
      <c r="U60" s="26"/>
      <c r="V60" s="26"/>
      <c r="W60" s="26"/>
      <c r="X60" s="26"/>
      <c r="Y60" s="26"/>
      <c r="Z60" s="26">
        <v>34.5</v>
      </c>
      <c r="AA60" s="26"/>
      <c r="AB60" s="26"/>
      <c r="AC60" s="26"/>
      <c r="AD60" s="8"/>
      <c r="AE60" s="8"/>
    </row>
    <row r="61" spans="1:31">
      <c r="A61" s="24">
        <v>710</v>
      </c>
      <c r="B61" s="24" t="s">
        <v>54</v>
      </c>
      <c r="C61" s="25">
        <f>SUM(D61:AC61)</f>
        <v>11389.099999999999</v>
      </c>
      <c r="D61" s="25">
        <f>SUM(D58:D60)</f>
        <v>4676.8999999999996</v>
      </c>
      <c r="E61" s="25">
        <f t="shared" ref="E61:AC61" si="14">SUM(E58:E60)</f>
        <v>723.69999999999993</v>
      </c>
      <c r="F61" s="25">
        <f t="shared" si="14"/>
        <v>10</v>
      </c>
      <c r="G61" s="25">
        <f t="shared" si="14"/>
        <v>36.200000000000003</v>
      </c>
      <c r="H61" s="25">
        <f t="shared" si="14"/>
        <v>20</v>
      </c>
      <c r="I61" s="25">
        <f t="shared" si="14"/>
        <v>92.4</v>
      </c>
      <c r="J61" s="25">
        <f t="shared" si="14"/>
        <v>0</v>
      </c>
      <c r="K61" s="25">
        <f t="shared" si="14"/>
        <v>151.4</v>
      </c>
      <c r="L61" s="25">
        <f t="shared" si="14"/>
        <v>0</v>
      </c>
      <c r="M61" s="25">
        <f t="shared" si="14"/>
        <v>2286.6</v>
      </c>
      <c r="N61" s="25">
        <f t="shared" si="14"/>
        <v>0</v>
      </c>
      <c r="O61" s="25">
        <f t="shared" si="14"/>
        <v>60.1</v>
      </c>
      <c r="P61" s="25">
        <f t="shared" si="14"/>
        <v>0</v>
      </c>
      <c r="Q61" s="25">
        <f t="shared" si="14"/>
        <v>0</v>
      </c>
      <c r="R61" s="25">
        <f t="shared" si="14"/>
        <v>60</v>
      </c>
      <c r="S61" s="25">
        <f t="shared" si="14"/>
        <v>93</v>
      </c>
      <c r="T61" s="25">
        <f t="shared" si="14"/>
        <v>0</v>
      </c>
      <c r="U61" s="25">
        <f t="shared" si="14"/>
        <v>14.4</v>
      </c>
      <c r="V61" s="25">
        <f t="shared" si="14"/>
        <v>0</v>
      </c>
      <c r="W61" s="25">
        <f t="shared" si="14"/>
        <v>3129.9</v>
      </c>
      <c r="X61" s="25">
        <f t="shared" si="14"/>
        <v>0</v>
      </c>
      <c r="Y61" s="25">
        <f t="shared" si="14"/>
        <v>0</v>
      </c>
      <c r="Z61" s="25">
        <f t="shared" si="14"/>
        <v>34.5</v>
      </c>
      <c r="AA61" s="25">
        <f t="shared" si="14"/>
        <v>0</v>
      </c>
      <c r="AB61" s="25">
        <f t="shared" si="14"/>
        <v>0</v>
      </c>
      <c r="AC61" s="25">
        <f t="shared" si="14"/>
        <v>0</v>
      </c>
      <c r="AD61" s="8"/>
      <c r="AE61" s="8"/>
    </row>
    <row r="62" spans="1:31">
      <c r="C62" s="3"/>
      <c r="I62" s="8"/>
      <c r="K62" s="8"/>
      <c r="M62" s="8"/>
      <c r="N62" s="8"/>
      <c r="W62" s="8"/>
    </row>
    <row r="63" spans="1:31" ht="18.75">
      <c r="C63" s="3"/>
      <c r="D63" s="3" t="s">
        <v>331</v>
      </c>
      <c r="E63" s="48"/>
      <c r="F63" s="44"/>
      <c r="G63" s="45"/>
      <c r="H63" s="46"/>
      <c r="I63" s="46"/>
      <c r="J63" s="46"/>
      <c r="L63" s="47"/>
    </row>
    <row r="64" spans="1:31" ht="15.7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</sheetData>
  <mergeCells count="3">
    <mergeCell ref="B7:AC7"/>
    <mergeCell ref="B8:AC8"/>
    <mergeCell ref="A9:AC9"/>
  </mergeCells>
  <pageMargins left="0.19685039370078741" right="0.19685039370078741" top="0.39370078740157483" bottom="0.19685039370078741" header="0.31496062992125984" footer="0.31496062992125984"/>
  <pageSetup paperSize="9" scale="61" fitToHeight="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workbookViewId="0">
      <selection activeCell="Q30" sqref="Q30"/>
    </sheetView>
  </sheetViews>
  <sheetFormatPr defaultColWidth="6.7109375" defaultRowHeight="12.75"/>
  <cols>
    <col min="1" max="1" width="4.28515625" style="48" customWidth="1"/>
    <col min="2" max="2" width="28.7109375" style="48" customWidth="1"/>
    <col min="3" max="3" width="11.140625" style="48" customWidth="1"/>
    <col min="4" max="4" width="8.7109375" style="48" customWidth="1"/>
    <col min="5" max="6" width="7.7109375" style="48" customWidth="1"/>
    <col min="7" max="7" width="8.42578125" style="48" customWidth="1"/>
    <col min="8" max="8" width="7.7109375" style="48" hidden="1" customWidth="1"/>
    <col min="9" max="9" width="8.28515625" style="48" customWidth="1"/>
    <col min="10" max="10" width="8" style="48" hidden="1" customWidth="1"/>
    <col min="11" max="11" width="8.28515625" style="48" customWidth="1"/>
    <col min="12" max="12" width="7.42578125" style="48" customWidth="1"/>
    <col min="13" max="13" width="7.85546875" style="48" bestFit="1" customWidth="1"/>
    <col min="14" max="14" width="6.85546875" style="48" bestFit="1" customWidth="1"/>
    <col min="15" max="15" width="8.28515625" style="48" customWidth="1"/>
    <col min="16" max="17" width="8.28515625" style="48" bestFit="1" customWidth="1"/>
    <col min="18" max="18" width="8.42578125" style="48" customWidth="1"/>
    <col min="19" max="19" width="8.7109375" style="48" customWidth="1"/>
    <col min="20" max="20" width="9.42578125" style="48" hidden="1" customWidth="1"/>
    <col min="21" max="22" width="7.28515625" style="48" hidden="1" customWidth="1"/>
    <col min="23" max="25" width="8.7109375" style="48" customWidth="1"/>
    <col min="26" max="26" width="8" style="48" customWidth="1"/>
    <col min="27" max="16384" width="6.7109375" style="48"/>
  </cols>
  <sheetData>
    <row r="1" spans="1:28">
      <c r="X1" s="67"/>
      <c r="Y1" s="67"/>
      <c r="Z1" s="67"/>
      <c r="AA1" s="6" t="s">
        <v>0</v>
      </c>
    </row>
    <row r="2" spans="1:28">
      <c r="X2" s="67"/>
      <c r="Y2" s="67"/>
      <c r="Z2" s="67"/>
      <c r="AA2" s="109" t="s">
        <v>325</v>
      </c>
    </row>
    <row r="3" spans="1:28">
      <c r="X3" s="67"/>
      <c r="Y3" s="67"/>
      <c r="Z3" s="67"/>
      <c r="AA3" s="6" t="s">
        <v>326</v>
      </c>
    </row>
    <row r="4" spans="1:28">
      <c r="Y4" s="67"/>
      <c r="Z4" s="67"/>
      <c r="AA4" s="6" t="s">
        <v>327</v>
      </c>
    </row>
    <row r="5" spans="1:28">
      <c r="Y5" s="10"/>
      <c r="Z5" s="6"/>
      <c r="AA5" s="118" t="s">
        <v>178</v>
      </c>
    </row>
    <row r="6" spans="1:28">
      <c r="B6" s="305" t="s">
        <v>200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</row>
    <row r="7" spans="1:28">
      <c r="B7" s="305" t="s">
        <v>79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</row>
    <row r="8" spans="1:28" ht="13.5" thickBot="1"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</row>
    <row r="9" spans="1:28" s="5" customFormat="1" ht="72">
      <c r="A9" s="11" t="s">
        <v>16</v>
      </c>
      <c r="B9" s="11" t="s">
        <v>17</v>
      </c>
      <c r="C9" s="12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4" t="s">
        <v>26</v>
      </c>
      <c r="L9" s="13" t="s">
        <v>27</v>
      </c>
      <c r="M9" s="13" t="s">
        <v>28</v>
      </c>
      <c r="N9" s="13" t="s">
        <v>29</v>
      </c>
      <c r="O9" s="13" t="s">
        <v>30</v>
      </c>
      <c r="P9" s="13" t="s">
        <v>31</v>
      </c>
      <c r="Q9" s="13" t="s">
        <v>32</v>
      </c>
      <c r="R9" s="13" t="s">
        <v>33</v>
      </c>
      <c r="S9" s="13" t="s">
        <v>34</v>
      </c>
      <c r="T9" s="13" t="s">
        <v>35</v>
      </c>
      <c r="U9" s="13" t="s">
        <v>36</v>
      </c>
      <c r="V9" s="13" t="s">
        <v>37</v>
      </c>
      <c r="W9" s="13" t="s">
        <v>39</v>
      </c>
      <c r="X9" s="15" t="s">
        <v>40</v>
      </c>
      <c r="Y9" s="207" t="s">
        <v>41</v>
      </c>
      <c r="Z9" s="207" t="s">
        <v>80</v>
      </c>
      <c r="AA9" s="13" t="s">
        <v>81</v>
      </c>
    </row>
    <row r="10" spans="1:28" s="5" customFormat="1">
      <c r="A10" s="16"/>
      <c r="B10" s="16"/>
      <c r="C10" s="16"/>
      <c r="D10" s="18">
        <v>2111</v>
      </c>
      <c r="E10" s="49">
        <v>2121</v>
      </c>
      <c r="F10" s="18">
        <v>22111</v>
      </c>
      <c r="G10" s="18">
        <v>22122</v>
      </c>
      <c r="H10" s="18">
        <v>2213</v>
      </c>
      <c r="I10" s="18">
        <v>2214</v>
      </c>
      <c r="J10" s="18">
        <v>22152</v>
      </c>
      <c r="K10" s="18">
        <v>22154</v>
      </c>
      <c r="L10" s="18">
        <v>2217</v>
      </c>
      <c r="M10" s="18">
        <v>2218</v>
      </c>
      <c r="N10" s="18">
        <v>222111</v>
      </c>
      <c r="O10" s="18">
        <v>2222</v>
      </c>
      <c r="P10" s="18">
        <v>2223</v>
      </c>
      <c r="Q10" s="18">
        <v>22241</v>
      </c>
      <c r="R10" s="18">
        <v>22311100</v>
      </c>
      <c r="S10" s="18">
        <v>22311200</v>
      </c>
      <c r="T10" s="18">
        <v>22311300</v>
      </c>
      <c r="U10" s="18">
        <v>22311400</v>
      </c>
      <c r="V10" s="18">
        <v>2511</v>
      </c>
      <c r="W10" s="18">
        <v>282</v>
      </c>
      <c r="X10" s="50">
        <v>3111</v>
      </c>
      <c r="Y10" s="51">
        <v>3112</v>
      </c>
      <c r="Z10" s="51">
        <v>3113</v>
      </c>
      <c r="AA10" s="52">
        <v>3122</v>
      </c>
    </row>
    <row r="11" spans="1:28">
      <c r="A11" s="53"/>
      <c r="B11" s="53"/>
      <c r="C11" s="54">
        <f>'Т 1'!O60-C12</f>
        <v>0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55"/>
      <c r="Z11" s="55"/>
      <c r="AA11" s="37"/>
    </row>
    <row r="12" spans="1:28">
      <c r="A12" s="53"/>
      <c r="B12" s="53" t="s">
        <v>47</v>
      </c>
      <c r="C12" s="56">
        <f>SUM(D12:AA12)</f>
        <v>153865.80000000002</v>
      </c>
      <c r="D12" s="56">
        <f t="shared" ref="D12:AA12" si="0">D15+D18+D23+D26+D30</f>
        <v>62759.100000000006</v>
      </c>
      <c r="E12" s="56">
        <f t="shared" si="0"/>
        <v>9511.1</v>
      </c>
      <c r="F12" s="56">
        <f t="shared" si="0"/>
        <v>100</v>
      </c>
      <c r="G12" s="56">
        <f t="shared" si="0"/>
        <v>53</v>
      </c>
      <c r="H12" s="56">
        <f t="shared" si="0"/>
        <v>0</v>
      </c>
      <c r="I12" s="56">
        <f t="shared" si="0"/>
        <v>5389.4</v>
      </c>
      <c r="J12" s="56">
        <f t="shared" si="0"/>
        <v>0</v>
      </c>
      <c r="K12" s="56">
        <f t="shared" si="0"/>
        <v>2306.0000000000005</v>
      </c>
      <c r="L12" s="56">
        <f t="shared" si="0"/>
        <v>44.5</v>
      </c>
      <c r="M12" s="56">
        <f t="shared" si="0"/>
        <v>60081</v>
      </c>
      <c r="N12" s="56">
        <f t="shared" si="0"/>
        <v>1308.4000000000001</v>
      </c>
      <c r="O12" s="56">
        <f t="shared" si="0"/>
        <v>3521.2000000000003</v>
      </c>
      <c r="P12" s="56">
        <f t="shared" si="0"/>
        <v>679.4</v>
      </c>
      <c r="Q12" s="56">
        <f t="shared" si="0"/>
        <v>64</v>
      </c>
      <c r="R12" s="56">
        <f t="shared" si="0"/>
        <v>127.30000000000001</v>
      </c>
      <c r="S12" s="56">
        <f t="shared" si="0"/>
        <v>218.70000000000002</v>
      </c>
      <c r="T12" s="56">
        <f t="shared" si="0"/>
        <v>0</v>
      </c>
      <c r="U12" s="56">
        <f t="shared" si="0"/>
        <v>0</v>
      </c>
      <c r="V12" s="56">
        <f t="shared" si="0"/>
        <v>0</v>
      </c>
      <c r="W12" s="56">
        <f t="shared" si="0"/>
        <v>4428.3999999999996</v>
      </c>
      <c r="X12" s="56">
        <f t="shared" si="0"/>
        <v>102.2</v>
      </c>
      <c r="Y12" s="57">
        <f t="shared" si="0"/>
        <v>2672.1000000000004</v>
      </c>
      <c r="Z12" s="57">
        <f t="shared" si="0"/>
        <v>0</v>
      </c>
      <c r="AA12" s="56">
        <f t="shared" si="0"/>
        <v>500</v>
      </c>
    </row>
    <row r="13" spans="1:28">
      <c r="A13" s="37"/>
      <c r="B13" s="37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55"/>
      <c r="Z13" s="55"/>
      <c r="AA13" s="37"/>
    </row>
    <row r="14" spans="1:28">
      <c r="A14" s="37">
        <v>1</v>
      </c>
      <c r="B14" s="34" t="s">
        <v>82</v>
      </c>
      <c r="C14" s="39">
        <f>SUM(D14:AA14)</f>
        <v>19204.499999999996</v>
      </c>
      <c r="D14" s="58">
        <v>9827.7999999999993</v>
      </c>
      <c r="E14" s="58">
        <v>1473.6</v>
      </c>
      <c r="F14" s="58">
        <v>50</v>
      </c>
      <c r="G14" s="59">
        <v>25.3</v>
      </c>
      <c r="H14" s="59"/>
      <c r="I14" s="59">
        <v>101</v>
      </c>
      <c r="J14" s="59"/>
      <c r="K14" s="59">
        <v>1632.9</v>
      </c>
      <c r="L14" s="59"/>
      <c r="M14" s="59"/>
      <c r="N14" s="59"/>
      <c r="O14" s="59">
        <v>334.8</v>
      </c>
      <c r="P14" s="59">
        <v>29</v>
      </c>
      <c r="Q14" s="59"/>
      <c r="R14" s="59">
        <v>39.6</v>
      </c>
      <c r="S14" s="59">
        <v>38.4</v>
      </c>
      <c r="T14" s="59"/>
      <c r="U14" s="59"/>
      <c r="V14" s="59"/>
      <c r="W14" s="59">
        <v>4428.3999999999996</v>
      </c>
      <c r="X14" s="59"/>
      <c r="Y14" s="60">
        <v>1223.7</v>
      </c>
      <c r="Z14" s="60"/>
      <c r="AA14" s="37"/>
      <c r="AB14" s="61"/>
    </row>
    <row r="15" spans="1:28">
      <c r="A15" s="53">
        <v>701</v>
      </c>
      <c r="B15" s="53" t="s">
        <v>83</v>
      </c>
      <c r="C15" s="56">
        <f t="shared" ref="C15:AA15" si="1">SUM(C14:C14)</f>
        <v>19204.499999999996</v>
      </c>
      <c r="D15" s="56">
        <f t="shared" si="1"/>
        <v>9827.7999999999993</v>
      </c>
      <c r="E15" s="56">
        <f t="shared" si="1"/>
        <v>1473.6</v>
      </c>
      <c r="F15" s="56">
        <f t="shared" si="1"/>
        <v>50</v>
      </c>
      <c r="G15" s="56">
        <f t="shared" si="1"/>
        <v>25.3</v>
      </c>
      <c r="H15" s="56">
        <f t="shared" si="1"/>
        <v>0</v>
      </c>
      <c r="I15" s="56">
        <f t="shared" si="1"/>
        <v>101</v>
      </c>
      <c r="J15" s="56">
        <f t="shared" si="1"/>
        <v>0</v>
      </c>
      <c r="K15" s="56">
        <f t="shared" si="1"/>
        <v>1632.9</v>
      </c>
      <c r="L15" s="56">
        <f t="shared" si="1"/>
        <v>0</v>
      </c>
      <c r="M15" s="56">
        <f t="shared" si="1"/>
        <v>0</v>
      </c>
      <c r="N15" s="56">
        <f t="shared" si="1"/>
        <v>0</v>
      </c>
      <c r="O15" s="56">
        <f t="shared" si="1"/>
        <v>334.8</v>
      </c>
      <c r="P15" s="56">
        <f>SUM(P14:P14)</f>
        <v>29</v>
      </c>
      <c r="Q15" s="56">
        <f t="shared" si="1"/>
        <v>0</v>
      </c>
      <c r="R15" s="56">
        <f t="shared" si="1"/>
        <v>39.6</v>
      </c>
      <c r="S15" s="56">
        <f t="shared" si="1"/>
        <v>38.4</v>
      </c>
      <c r="T15" s="56">
        <f t="shared" si="1"/>
        <v>0</v>
      </c>
      <c r="U15" s="56">
        <f t="shared" si="1"/>
        <v>0</v>
      </c>
      <c r="V15" s="56"/>
      <c r="W15" s="56">
        <f>SUM(W14:W14)</f>
        <v>4428.3999999999996</v>
      </c>
      <c r="X15" s="56">
        <f>SUM(X14:X14)</f>
        <v>0</v>
      </c>
      <c r="Y15" s="57">
        <f>SUM(Y14:Y14)</f>
        <v>1223.7</v>
      </c>
      <c r="Z15" s="57">
        <f t="shared" si="1"/>
        <v>0</v>
      </c>
      <c r="AA15" s="56">
        <f t="shared" si="1"/>
        <v>0</v>
      </c>
    </row>
    <row r="16" spans="1:28">
      <c r="A16" s="37"/>
      <c r="B16" s="37"/>
      <c r="C16" s="39"/>
      <c r="D16" s="39"/>
      <c r="E16" s="39"/>
      <c r="F16" s="3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5"/>
      <c r="Z16" s="55"/>
      <c r="AA16" s="37"/>
    </row>
    <row r="17" spans="1:29">
      <c r="A17" s="37">
        <v>2</v>
      </c>
      <c r="B17" s="34" t="s">
        <v>84</v>
      </c>
      <c r="C17" s="39">
        <f>SUM(D17:AA17)</f>
        <v>700</v>
      </c>
      <c r="D17" s="58">
        <v>10.5</v>
      </c>
      <c r="E17" s="58">
        <v>1.8</v>
      </c>
      <c r="F17" s="58"/>
      <c r="G17" s="59"/>
      <c r="H17" s="59"/>
      <c r="I17" s="59">
        <v>97</v>
      </c>
      <c r="J17" s="59"/>
      <c r="K17" s="59">
        <v>26.7</v>
      </c>
      <c r="L17" s="59"/>
      <c r="M17" s="59"/>
      <c r="N17" s="59"/>
      <c r="O17" s="59"/>
      <c r="P17" s="59"/>
      <c r="Q17" s="59">
        <v>64</v>
      </c>
      <c r="R17" s="59"/>
      <c r="S17" s="59"/>
      <c r="T17" s="59"/>
      <c r="U17" s="59"/>
      <c r="V17" s="59"/>
      <c r="W17" s="59"/>
      <c r="X17" s="59"/>
      <c r="Y17" s="55"/>
      <c r="Z17" s="55"/>
      <c r="AA17" s="54">
        <v>500</v>
      </c>
    </row>
    <row r="18" spans="1:29">
      <c r="A18" s="53">
        <v>704</v>
      </c>
      <c r="B18" s="53" t="s">
        <v>83</v>
      </c>
      <c r="C18" s="56">
        <f>SUM(C17:C17)</f>
        <v>700</v>
      </c>
      <c r="D18" s="56">
        <f t="shared" ref="D18:U18" si="2">SUM(D17:D17)</f>
        <v>10.5</v>
      </c>
      <c r="E18" s="56">
        <f t="shared" si="2"/>
        <v>1.8</v>
      </c>
      <c r="F18" s="56">
        <f t="shared" si="2"/>
        <v>0</v>
      </c>
      <c r="G18" s="56">
        <f t="shared" si="2"/>
        <v>0</v>
      </c>
      <c r="H18" s="56">
        <f t="shared" si="2"/>
        <v>0</v>
      </c>
      <c r="I18" s="56">
        <f t="shared" si="2"/>
        <v>97</v>
      </c>
      <c r="J18" s="56">
        <f t="shared" si="2"/>
        <v>0</v>
      </c>
      <c r="K18" s="56">
        <f t="shared" si="2"/>
        <v>26.7</v>
      </c>
      <c r="L18" s="56">
        <f t="shared" si="2"/>
        <v>0</v>
      </c>
      <c r="M18" s="56">
        <f t="shared" si="2"/>
        <v>0</v>
      </c>
      <c r="N18" s="56">
        <f t="shared" si="2"/>
        <v>0</v>
      </c>
      <c r="O18" s="56">
        <f t="shared" si="2"/>
        <v>0</v>
      </c>
      <c r="P18" s="56">
        <f>SUM(P17:P17)</f>
        <v>0</v>
      </c>
      <c r="Q18" s="56">
        <f t="shared" si="2"/>
        <v>64</v>
      </c>
      <c r="R18" s="56">
        <f t="shared" si="2"/>
        <v>0</v>
      </c>
      <c r="S18" s="56">
        <f t="shared" si="2"/>
        <v>0</v>
      </c>
      <c r="T18" s="56">
        <f t="shared" si="2"/>
        <v>0</v>
      </c>
      <c r="U18" s="56">
        <f t="shared" si="2"/>
        <v>0</v>
      </c>
      <c r="V18" s="56"/>
      <c r="W18" s="56">
        <f>SUM(W17:W17)</f>
        <v>0</v>
      </c>
      <c r="X18" s="56">
        <f>SUM(X17:X17)</f>
        <v>0</v>
      </c>
      <c r="Y18" s="57">
        <f>SUM(Y17:Y17)</f>
        <v>0</v>
      </c>
      <c r="Z18" s="57">
        <f>SUM(Z17:Z17)</f>
        <v>0</v>
      </c>
      <c r="AA18" s="56">
        <f>SUM(AA17:AA17)</f>
        <v>500</v>
      </c>
    </row>
    <row r="19" spans="1:29">
      <c r="A19" s="53"/>
      <c r="B19" s="53"/>
      <c r="C19" s="56"/>
      <c r="D19" s="56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55"/>
      <c r="Z19" s="55"/>
      <c r="AA19" s="37"/>
    </row>
    <row r="20" spans="1:29">
      <c r="A20" s="37">
        <v>3</v>
      </c>
      <c r="B20" s="37" t="s">
        <v>64</v>
      </c>
      <c r="C20" s="39">
        <f>SUM(D20:AA20)</f>
        <v>80</v>
      </c>
      <c r="D20" s="39"/>
      <c r="E20" s="59"/>
      <c r="F20" s="59"/>
      <c r="G20" s="59"/>
      <c r="H20" s="59"/>
      <c r="I20" s="59">
        <v>30</v>
      </c>
      <c r="J20" s="59"/>
      <c r="K20" s="59"/>
      <c r="L20" s="59"/>
      <c r="M20" s="59"/>
      <c r="N20" s="59"/>
      <c r="O20" s="59">
        <v>50</v>
      </c>
      <c r="P20" s="59"/>
      <c r="Q20" s="59"/>
      <c r="R20" s="59"/>
      <c r="S20" s="59"/>
      <c r="T20" s="59"/>
      <c r="U20" s="59"/>
      <c r="V20" s="59"/>
      <c r="W20" s="59"/>
      <c r="X20" s="59"/>
      <c r="Y20" s="55"/>
      <c r="Z20" s="55"/>
      <c r="AA20" s="37"/>
    </row>
    <row r="21" spans="1:29">
      <c r="A21" s="37">
        <v>4</v>
      </c>
      <c r="B21" s="38" t="s">
        <v>65</v>
      </c>
      <c r="C21" s="39">
        <f>SUM(D21:AA21)</f>
        <v>50</v>
      </c>
      <c r="D21" s="63"/>
      <c r="E21" s="63"/>
      <c r="F21" s="63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4">
        <v>50</v>
      </c>
      <c r="Z21" s="64"/>
      <c r="AA21" s="37"/>
    </row>
    <row r="22" spans="1:29">
      <c r="A22" s="37">
        <v>5</v>
      </c>
      <c r="B22" s="37" t="s">
        <v>66</v>
      </c>
      <c r="C22" s="39">
        <f>SUM(D22:AA22)</f>
        <v>69999.999999999985</v>
      </c>
      <c r="D22" s="63">
        <v>52920.800000000003</v>
      </c>
      <c r="E22" s="63">
        <v>8035.7</v>
      </c>
      <c r="F22" s="63">
        <v>50</v>
      </c>
      <c r="G22" s="59">
        <v>27.7</v>
      </c>
      <c r="H22" s="59"/>
      <c r="I22" s="59">
        <v>5161.3999999999996</v>
      </c>
      <c r="J22" s="59"/>
      <c r="K22" s="59">
        <v>415</v>
      </c>
      <c r="L22" s="59">
        <v>44.5</v>
      </c>
      <c r="M22" s="59"/>
      <c r="N22" s="59"/>
      <c r="O22" s="59">
        <v>2100</v>
      </c>
      <c r="P22" s="59">
        <v>650.4</v>
      </c>
      <c r="Q22" s="59"/>
      <c r="R22" s="59">
        <v>87.7</v>
      </c>
      <c r="S22" s="59">
        <v>180.3</v>
      </c>
      <c r="T22" s="59"/>
      <c r="U22" s="59"/>
      <c r="V22" s="59"/>
      <c r="W22" s="59"/>
      <c r="X22" s="59"/>
      <c r="Y22" s="60">
        <v>326.5</v>
      </c>
      <c r="Z22" s="64"/>
      <c r="AA22" s="37"/>
      <c r="AC22" s="61"/>
    </row>
    <row r="23" spans="1:29">
      <c r="A23" s="53">
        <v>706</v>
      </c>
      <c r="B23" s="53" t="s">
        <v>85</v>
      </c>
      <c r="C23" s="56">
        <f>SUM(D23:Z23)</f>
        <v>70129.999999999985</v>
      </c>
      <c r="D23" s="56">
        <f t="shared" ref="D23:U23" si="3">SUM(D20:D22)</f>
        <v>52920.800000000003</v>
      </c>
      <c r="E23" s="56">
        <f t="shared" si="3"/>
        <v>8035.7</v>
      </c>
      <c r="F23" s="56">
        <f t="shared" si="3"/>
        <v>50</v>
      </c>
      <c r="G23" s="56">
        <f t="shared" si="3"/>
        <v>27.7</v>
      </c>
      <c r="H23" s="56">
        <f t="shared" si="3"/>
        <v>0</v>
      </c>
      <c r="I23" s="56">
        <f t="shared" si="3"/>
        <v>5191.3999999999996</v>
      </c>
      <c r="J23" s="56">
        <f t="shared" si="3"/>
        <v>0</v>
      </c>
      <c r="K23" s="56">
        <f t="shared" si="3"/>
        <v>415</v>
      </c>
      <c r="L23" s="56">
        <f t="shared" si="3"/>
        <v>44.5</v>
      </c>
      <c r="M23" s="56">
        <f t="shared" si="3"/>
        <v>0</v>
      </c>
      <c r="N23" s="56">
        <f t="shared" si="3"/>
        <v>0</v>
      </c>
      <c r="O23" s="56">
        <f t="shared" si="3"/>
        <v>2150</v>
      </c>
      <c r="P23" s="56">
        <f t="shared" si="3"/>
        <v>650.4</v>
      </c>
      <c r="Q23" s="56">
        <f t="shared" si="3"/>
        <v>0</v>
      </c>
      <c r="R23" s="56">
        <f t="shared" si="3"/>
        <v>87.7</v>
      </c>
      <c r="S23" s="56">
        <f t="shared" si="3"/>
        <v>180.3</v>
      </c>
      <c r="T23" s="56">
        <f t="shared" si="3"/>
        <v>0</v>
      </c>
      <c r="U23" s="56">
        <f t="shared" si="3"/>
        <v>0</v>
      </c>
      <c r="V23" s="56"/>
      <c r="W23" s="56">
        <f>SUM(W20:W22)</f>
        <v>0</v>
      </c>
      <c r="X23" s="56">
        <f>SUM(X20:X22)</f>
        <v>0</v>
      </c>
      <c r="Y23" s="57">
        <f>SUM(Y20:Y22)</f>
        <v>376.5</v>
      </c>
      <c r="Z23" s="57">
        <f>SUM(Z20:Z22)</f>
        <v>0</v>
      </c>
      <c r="AA23" s="37"/>
    </row>
    <row r="24" spans="1:29">
      <c r="A24" s="37">
        <v>6</v>
      </c>
      <c r="B24" s="37" t="s">
        <v>232</v>
      </c>
      <c r="C24" s="39">
        <f t="shared" ref="C24:C25" si="4">SUM(D24:AA24)</f>
        <v>100</v>
      </c>
      <c r="D24" s="39"/>
      <c r="E24" s="39"/>
      <c r="F24" s="39"/>
      <c r="G24" s="59"/>
      <c r="H24" s="59"/>
      <c r="I24" s="59"/>
      <c r="J24" s="59"/>
      <c r="K24" s="59">
        <v>100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5"/>
      <c r="Z24" s="55"/>
      <c r="AA24" s="37"/>
    </row>
    <row r="25" spans="1:29">
      <c r="A25" s="37">
        <v>7</v>
      </c>
      <c r="B25" s="37" t="s">
        <v>86</v>
      </c>
      <c r="C25" s="39">
        <f t="shared" si="4"/>
        <v>233.60000000000002</v>
      </c>
      <c r="D25" s="63"/>
      <c r="E25" s="63"/>
      <c r="F25" s="63"/>
      <c r="G25" s="59"/>
      <c r="H25" s="59"/>
      <c r="I25" s="59"/>
      <c r="J25" s="59"/>
      <c r="K25" s="59">
        <v>131.4</v>
      </c>
      <c r="L25" s="122"/>
      <c r="M25" s="122"/>
      <c r="N25" s="138"/>
      <c r="O25" s="59"/>
      <c r="P25" s="59"/>
      <c r="Q25" s="59"/>
      <c r="R25" s="59"/>
      <c r="S25" s="59"/>
      <c r="T25" s="59"/>
      <c r="U25" s="59"/>
      <c r="V25" s="59"/>
      <c r="W25" s="59"/>
      <c r="X25" s="59">
        <v>102.2</v>
      </c>
      <c r="Y25" s="60"/>
      <c r="Z25" s="60"/>
      <c r="AA25" s="37"/>
    </row>
    <row r="26" spans="1:29">
      <c r="A26" s="53">
        <v>708</v>
      </c>
      <c r="B26" s="53" t="s">
        <v>83</v>
      </c>
      <c r="C26" s="56">
        <f>SUM(D26:Z26)</f>
        <v>333.6</v>
      </c>
      <c r="D26" s="56">
        <f t="shared" ref="D26:Z26" si="5">SUM(D25:D25)</f>
        <v>0</v>
      </c>
      <c r="E26" s="56">
        <f t="shared" si="5"/>
        <v>0</v>
      </c>
      <c r="F26" s="56">
        <f t="shared" si="5"/>
        <v>0</v>
      </c>
      <c r="G26" s="56">
        <f t="shared" si="5"/>
        <v>0</v>
      </c>
      <c r="H26" s="56">
        <f t="shared" si="5"/>
        <v>0</v>
      </c>
      <c r="I26" s="56">
        <f t="shared" si="5"/>
        <v>0</v>
      </c>
      <c r="J26" s="56">
        <f t="shared" si="5"/>
        <v>0</v>
      </c>
      <c r="K26" s="56">
        <f>SUM(K24:K25)</f>
        <v>231.4</v>
      </c>
      <c r="L26" s="56">
        <f t="shared" si="5"/>
        <v>0</v>
      </c>
      <c r="M26" s="56">
        <f t="shared" si="5"/>
        <v>0</v>
      </c>
      <c r="N26" s="56">
        <f t="shared" si="5"/>
        <v>0</v>
      </c>
      <c r="O26" s="56">
        <f t="shared" si="5"/>
        <v>0</v>
      </c>
      <c r="P26" s="56">
        <f t="shared" si="5"/>
        <v>0</v>
      </c>
      <c r="Q26" s="56">
        <f t="shared" si="5"/>
        <v>0</v>
      </c>
      <c r="R26" s="56">
        <f t="shared" si="5"/>
        <v>0</v>
      </c>
      <c r="S26" s="56">
        <f t="shared" si="5"/>
        <v>0</v>
      </c>
      <c r="T26" s="56">
        <f t="shared" si="5"/>
        <v>0</v>
      </c>
      <c r="U26" s="56">
        <f t="shared" si="5"/>
        <v>0</v>
      </c>
      <c r="V26" s="56">
        <f t="shared" si="5"/>
        <v>0</v>
      </c>
      <c r="W26" s="56">
        <f t="shared" si="5"/>
        <v>0</v>
      </c>
      <c r="X26" s="56">
        <f t="shared" si="5"/>
        <v>102.2</v>
      </c>
      <c r="Y26" s="56">
        <f t="shared" si="5"/>
        <v>0</v>
      </c>
      <c r="Z26" s="56">
        <f t="shared" si="5"/>
        <v>0</v>
      </c>
      <c r="AA26" s="56"/>
    </row>
    <row r="27" spans="1:29">
      <c r="A27" s="37"/>
      <c r="B27" s="37"/>
      <c r="C27" s="39"/>
      <c r="D27" s="39"/>
      <c r="E27" s="39"/>
      <c r="F27" s="3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5"/>
      <c r="Z27" s="55"/>
      <c r="AA27" s="37"/>
    </row>
    <row r="28" spans="1:29">
      <c r="A28" s="37">
        <v>8</v>
      </c>
      <c r="B28" s="37" t="s">
        <v>75</v>
      </c>
      <c r="C28" s="39">
        <f t="shared" ref="C28:C31" si="6">SUM(D28:AA28)</f>
        <v>63497.700000000004</v>
      </c>
      <c r="D28" s="58"/>
      <c r="E28" s="58"/>
      <c r="F28" s="58"/>
      <c r="G28" s="59"/>
      <c r="H28" s="59"/>
      <c r="I28" s="59"/>
      <c r="J28" s="59"/>
      <c r="K28" s="59"/>
      <c r="L28" s="59"/>
      <c r="M28" s="59">
        <v>60081</v>
      </c>
      <c r="N28" s="59">
        <v>1308.4000000000001</v>
      </c>
      <c r="O28" s="59">
        <v>1036.4000000000001</v>
      </c>
      <c r="P28" s="59"/>
      <c r="Q28" s="59"/>
      <c r="R28" s="59"/>
      <c r="S28" s="59"/>
      <c r="T28" s="59"/>
      <c r="U28" s="59"/>
      <c r="V28" s="59"/>
      <c r="W28" s="59"/>
      <c r="X28" s="59"/>
      <c r="Y28" s="54">
        <v>1071.9000000000001</v>
      </c>
      <c r="Z28" s="37"/>
      <c r="AA28" s="37"/>
    </row>
    <row r="29" spans="1:29">
      <c r="A29" s="37"/>
      <c r="B29" s="37"/>
      <c r="C29" s="39"/>
      <c r="D29" s="58"/>
      <c r="E29" s="58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60"/>
      <c r="Z29" s="60"/>
      <c r="AA29" s="37"/>
    </row>
    <row r="30" spans="1:29">
      <c r="A30" s="65">
        <v>709</v>
      </c>
      <c r="B30" s="65" t="s">
        <v>83</v>
      </c>
      <c r="C30" s="56">
        <f>SUM(D30:Z30)</f>
        <v>63497.700000000004</v>
      </c>
      <c r="D30" s="66">
        <f t="shared" ref="D30:U30" si="7">SUM(D28:D29)</f>
        <v>0</v>
      </c>
      <c r="E30" s="66">
        <f t="shared" si="7"/>
        <v>0</v>
      </c>
      <c r="F30" s="66">
        <f t="shared" si="7"/>
        <v>0</v>
      </c>
      <c r="G30" s="66">
        <f t="shared" si="7"/>
        <v>0</v>
      </c>
      <c r="H30" s="66">
        <f t="shared" si="7"/>
        <v>0</v>
      </c>
      <c r="I30" s="66">
        <f t="shared" si="7"/>
        <v>0</v>
      </c>
      <c r="J30" s="66">
        <f t="shared" si="7"/>
        <v>0</v>
      </c>
      <c r="K30" s="66">
        <f t="shared" si="7"/>
        <v>0</v>
      </c>
      <c r="L30" s="66">
        <f t="shared" si="7"/>
        <v>0</v>
      </c>
      <c r="M30" s="66">
        <f t="shared" si="7"/>
        <v>60081</v>
      </c>
      <c r="N30" s="66">
        <f t="shared" si="7"/>
        <v>1308.4000000000001</v>
      </c>
      <c r="O30" s="66">
        <f t="shared" si="7"/>
        <v>1036.4000000000001</v>
      </c>
      <c r="P30" s="66">
        <f t="shared" si="7"/>
        <v>0</v>
      </c>
      <c r="Q30" s="66">
        <f t="shared" si="7"/>
        <v>0</v>
      </c>
      <c r="R30" s="66">
        <f t="shared" si="7"/>
        <v>0</v>
      </c>
      <c r="S30" s="66">
        <f t="shared" si="7"/>
        <v>0</v>
      </c>
      <c r="T30" s="66">
        <f t="shared" si="7"/>
        <v>0</v>
      </c>
      <c r="U30" s="66">
        <f t="shared" si="7"/>
        <v>0</v>
      </c>
      <c r="V30" s="66"/>
      <c r="W30" s="66">
        <f>SUM(W28:W29)</f>
        <v>0</v>
      </c>
      <c r="X30" s="66">
        <f>SUM(X28:X29)</f>
        <v>0</v>
      </c>
      <c r="Y30" s="57">
        <f>SUM(Y28:Y29)</f>
        <v>1071.9000000000001</v>
      </c>
      <c r="Z30" s="57">
        <f>SUM(Z28:Z29)</f>
        <v>0</v>
      </c>
      <c r="AA30" s="37"/>
    </row>
    <row r="31" spans="1:29">
      <c r="A31" s="53"/>
      <c r="B31" s="53"/>
      <c r="C31" s="39">
        <f t="shared" si="6"/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5"/>
      <c r="Z31" s="55"/>
      <c r="AA31" s="37"/>
    </row>
    <row r="32" spans="1:29" s="68" customFormat="1">
      <c r="A32" s="67"/>
      <c r="B32" s="67"/>
      <c r="C32" s="6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pans="1:27" s="68" customForma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1:27" s="68" customFormat="1">
      <c r="A34" s="67"/>
      <c r="B34" s="67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1:27" ht="18.75">
      <c r="C35" s="3" t="s">
        <v>332</v>
      </c>
      <c r="E35" s="44"/>
      <c r="F35" s="44"/>
      <c r="G35" s="45"/>
      <c r="H35" s="46"/>
      <c r="I35" s="46"/>
      <c r="J35" s="46"/>
      <c r="L35" s="47"/>
      <c r="N35" s="70"/>
      <c r="O35" s="70"/>
    </row>
    <row r="36" spans="1:27" ht="15.75">
      <c r="C36" s="4"/>
    </row>
    <row r="37" spans="1:27">
      <c r="C37" s="61"/>
    </row>
  </sheetData>
  <mergeCells count="2">
    <mergeCell ref="B6:AA6"/>
    <mergeCell ref="B7:AA7"/>
  </mergeCells>
  <pageMargins left="0.19685039370078741" right="0.19685039370078741" top="0.74803149606299213" bottom="0.74803149606299213" header="0.31496062992125984" footer="0.31496062992125984"/>
  <pageSetup paperSize="9" scale="7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J44" sqref="J44"/>
    </sheetView>
  </sheetViews>
  <sheetFormatPr defaultColWidth="6.7109375" defaultRowHeight="12.75"/>
  <cols>
    <col min="1" max="1" width="4" style="5" bestFit="1" customWidth="1"/>
    <col min="2" max="2" width="35.42578125" style="5" customWidth="1"/>
    <col min="3" max="3" width="12.42578125" style="5" customWidth="1"/>
    <col min="4" max="4" width="10.7109375" style="5" customWidth="1"/>
    <col min="5" max="5" width="10.42578125" style="5" customWidth="1"/>
    <col min="6" max="6" width="10" style="5" customWidth="1"/>
    <col min="7" max="16384" width="6.7109375" style="5"/>
  </cols>
  <sheetData>
    <row r="1" spans="1:6">
      <c r="D1" s="6"/>
      <c r="E1" s="67"/>
      <c r="F1" s="6" t="s">
        <v>0</v>
      </c>
    </row>
    <row r="2" spans="1:6" ht="13.9" customHeight="1">
      <c r="D2" s="6"/>
      <c r="E2" s="67"/>
      <c r="F2" s="109" t="s">
        <v>325</v>
      </c>
    </row>
    <row r="3" spans="1:6">
      <c r="D3" s="6"/>
      <c r="E3" s="67"/>
      <c r="F3" s="6" t="s">
        <v>326</v>
      </c>
    </row>
    <row r="4" spans="1:6">
      <c r="D4" s="6"/>
      <c r="E4" s="48"/>
      <c r="F4" s="6" t="s">
        <v>327</v>
      </c>
    </row>
    <row r="5" spans="1:6">
      <c r="B5" s="8"/>
      <c r="D5" s="10"/>
      <c r="E5" s="10"/>
      <c r="F5" s="118" t="s">
        <v>140</v>
      </c>
    </row>
    <row r="6" spans="1:6">
      <c r="B6" s="8"/>
      <c r="D6" s="10"/>
      <c r="E6" s="10"/>
      <c r="F6" s="118"/>
    </row>
    <row r="7" spans="1:6">
      <c r="B7" s="302" t="s">
        <v>202</v>
      </c>
      <c r="C7" s="302"/>
      <c r="D7" s="302"/>
      <c r="E7" s="302"/>
      <c r="F7" s="302"/>
    </row>
    <row r="8" spans="1:6">
      <c r="B8" s="303" t="s">
        <v>143</v>
      </c>
      <c r="C8" s="303"/>
      <c r="D8" s="303"/>
      <c r="E8" s="303"/>
      <c r="F8" s="303"/>
    </row>
    <row r="9" spans="1:6" ht="13.5" thickBot="1">
      <c r="A9" s="304"/>
      <c r="B9" s="304"/>
      <c r="C9" s="304"/>
      <c r="D9" s="304"/>
      <c r="E9" s="304"/>
      <c r="F9" s="304"/>
    </row>
    <row r="10" spans="1:6" ht="25.5">
      <c r="A10" s="11" t="s">
        <v>16</v>
      </c>
      <c r="B10" s="11" t="s">
        <v>17</v>
      </c>
      <c r="C10" s="306" t="s">
        <v>164</v>
      </c>
      <c r="D10" s="307"/>
      <c r="E10" s="306" t="s">
        <v>201</v>
      </c>
      <c r="F10" s="307"/>
    </row>
    <row r="11" spans="1:6" ht="24">
      <c r="A11" s="16"/>
      <c r="B11" s="16"/>
      <c r="C11" s="18" t="s">
        <v>141</v>
      </c>
      <c r="D11" s="128" t="s">
        <v>142</v>
      </c>
      <c r="E11" s="18" t="s">
        <v>141</v>
      </c>
      <c r="F11" s="128" t="s">
        <v>142</v>
      </c>
    </row>
    <row r="12" spans="1:6">
      <c r="A12" s="21"/>
      <c r="B12" s="21"/>
      <c r="C12" s="145"/>
      <c r="D12" s="23"/>
      <c r="E12" s="145"/>
      <c r="F12" s="23"/>
    </row>
    <row r="13" spans="1:6">
      <c r="A13" s="24"/>
      <c r="B13" s="24" t="s">
        <v>47</v>
      </c>
      <c r="C13" s="25">
        <f>SUM(C21,C24,C27,C34,C39,C47,C53,C57)</f>
        <v>686974.6</v>
      </c>
      <c r="D13" s="25">
        <f>SUM(D21,D24,D27,D34,D39,D47,D53,D57)</f>
        <v>151240.90000000002</v>
      </c>
      <c r="E13" s="25">
        <f>SUM(E21,E24,E27,E34,E39,E47,E53,E57)</f>
        <v>711746.60000000009</v>
      </c>
      <c r="F13" s="25">
        <f>SUM(F21,F24,F27,F34,F39,F47,F53,F57)</f>
        <v>158495.90000000002</v>
      </c>
    </row>
    <row r="14" spans="1:6" ht="16.5" customHeight="1">
      <c r="A14" s="21">
        <v>1</v>
      </c>
      <c r="B14" s="21" t="s">
        <v>48</v>
      </c>
      <c r="C14" s="26">
        <v>26984.6</v>
      </c>
      <c r="D14" s="26"/>
      <c r="E14" s="26">
        <v>27033.7</v>
      </c>
      <c r="F14" s="26"/>
    </row>
    <row r="15" spans="1:6" s="30" customFormat="1">
      <c r="A15" s="27"/>
      <c r="B15" s="117" t="s">
        <v>176</v>
      </c>
      <c r="C15" s="28">
        <v>3000</v>
      </c>
      <c r="D15" s="22"/>
      <c r="E15" s="22">
        <v>3000</v>
      </c>
      <c r="F15" s="22"/>
    </row>
    <row r="16" spans="1:6" ht="12.4" customHeight="1">
      <c r="A16" s="21">
        <v>2</v>
      </c>
      <c r="B16" s="21" t="s">
        <v>49</v>
      </c>
      <c r="C16" s="26">
        <v>6170</v>
      </c>
      <c r="D16" s="26"/>
      <c r="E16" s="26">
        <v>6170</v>
      </c>
      <c r="F16" s="26"/>
    </row>
    <row r="17" spans="1:6" s="33" customFormat="1" ht="25.5">
      <c r="A17" s="31" t="s">
        <v>50</v>
      </c>
      <c r="B17" s="32" t="s">
        <v>51</v>
      </c>
      <c r="C17" s="26">
        <v>5839.4</v>
      </c>
      <c r="D17" s="26"/>
      <c r="E17" s="26">
        <v>5839.4</v>
      </c>
      <c r="F17" s="26"/>
    </row>
    <row r="18" spans="1:6">
      <c r="A18" s="21">
        <v>4</v>
      </c>
      <c r="B18" s="21" t="s">
        <v>52</v>
      </c>
      <c r="C18" s="26">
        <v>6939</v>
      </c>
      <c r="D18" s="26"/>
      <c r="E18" s="26">
        <v>7081.7</v>
      </c>
      <c r="F18" s="26"/>
    </row>
    <row r="19" spans="1:6" ht="25.5">
      <c r="A19" s="21">
        <v>5</v>
      </c>
      <c r="B19" s="34" t="s">
        <v>53</v>
      </c>
      <c r="C19" s="26">
        <v>5860.7</v>
      </c>
      <c r="D19" s="26">
        <v>21589.5</v>
      </c>
      <c r="E19" s="26">
        <v>5860.7</v>
      </c>
      <c r="F19" s="26">
        <v>21589.5</v>
      </c>
    </row>
    <row r="20" spans="1:6">
      <c r="A20" s="21"/>
      <c r="B20" s="34"/>
      <c r="C20" s="26"/>
      <c r="D20" s="26"/>
      <c r="E20" s="26"/>
      <c r="F20" s="26"/>
    </row>
    <row r="21" spans="1:6">
      <c r="A21" s="24">
        <v>701</v>
      </c>
      <c r="B21" s="24" t="s">
        <v>54</v>
      </c>
      <c r="C21" s="25">
        <f>SUM(C14:C20)-C15</f>
        <v>51793.7</v>
      </c>
      <c r="D21" s="25">
        <f t="shared" ref="D21:F21" si="0">SUM(D14:D20)-D15</f>
        <v>21589.5</v>
      </c>
      <c r="E21" s="25">
        <f t="shared" si="0"/>
        <v>51985.499999999993</v>
      </c>
      <c r="F21" s="25">
        <f t="shared" si="0"/>
        <v>21589.5</v>
      </c>
    </row>
    <row r="22" spans="1:6">
      <c r="A22" s="21"/>
      <c r="B22" s="21"/>
      <c r="C22" s="22"/>
      <c r="D22" s="22"/>
      <c r="E22" s="22"/>
      <c r="F22" s="22"/>
    </row>
    <row r="23" spans="1:6">
      <c r="A23" s="21">
        <v>6</v>
      </c>
      <c r="B23" s="21" t="s">
        <v>55</v>
      </c>
      <c r="C23" s="26">
        <v>4264.2</v>
      </c>
      <c r="D23" s="26"/>
      <c r="E23" s="26">
        <v>4386.2</v>
      </c>
      <c r="F23" s="26"/>
    </row>
    <row r="24" spans="1:6">
      <c r="A24" s="24">
        <v>702</v>
      </c>
      <c r="B24" s="24" t="s">
        <v>54</v>
      </c>
      <c r="C24" s="25">
        <f t="shared" ref="C24:D24" si="1">SUM(C23:C23)</f>
        <v>4264.2</v>
      </c>
      <c r="D24" s="25">
        <f t="shared" si="1"/>
        <v>0</v>
      </c>
      <c r="E24" s="25">
        <f>SUM(E23:E23)</f>
        <v>4386.2</v>
      </c>
      <c r="F24" s="25">
        <f>SUM(F23:F23)</f>
        <v>0</v>
      </c>
    </row>
    <row r="25" spans="1:6">
      <c r="A25" s="21"/>
      <c r="B25" s="21"/>
      <c r="C25" s="22"/>
      <c r="D25" s="22"/>
      <c r="E25" s="22"/>
      <c r="F25" s="22"/>
    </row>
    <row r="26" spans="1:6" hidden="1">
      <c r="A26" s="21">
        <v>6</v>
      </c>
      <c r="B26" s="21" t="s">
        <v>56</v>
      </c>
      <c r="C26" s="22"/>
      <c r="D26" s="22"/>
      <c r="E26" s="22"/>
      <c r="F26" s="22"/>
    </row>
    <row r="27" spans="1:6" hidden="1">
      <c r="A27" s="24">
        <v>703</v>
      </c>
      <c r="B27" s="24" t="s">
        <v>54</v>
      </c>
      <c r="C27" s="25"/>
      <c r="D27" s="25"/>
      <c r="E27" s="25"/>
      <c r="F27" s="25"/>
    </row>
    <row r="28" spans="1:6" hidden="1">
      <c r="A28" s="24"/>
      <c r="B28" s="24"/>
      <c r="C28" s="25"/>
      <c r="D28" s="25"/>
      <c r="E28" s="25"/>
      <c r="F28" s="25"/>
    </row>
    <row r="29" spans="1:6">
      <c r="A29" s="21">
        <v>7</v>
      </c>
      <c r="B29" s="34" t="s">
        <v>84</v>
      </c>
      <c r="C29" s="26">
        <v>64957.3</v>
      </c>
      <c r="D29" s="26">
        <v>750</v>
      </c>
      <c r="E29" s="26">
        <v>64957.3</v>
      </c>
      <c r="F29" s="26">
        <v>800</v>
      </c>
    </row>
    <row r="30" spans="1:6" s="30" customFormat="1" ht="25.5" hidden="1">
      <c r="A30" s="27" t="s">
        <v>58</v>
      </c>
      <c r="B30" s="35" t="s">
        <v>59</v>
      </c>
      <c r="C30" s="26"/>
      <c r="D30" s="26"/>
      <c r="E30" s="26"/>
      <c r="F30" s="26"/>
    </row>
    <row r="31" spans="1:6">
      <c r="A31" s="21">
        <v>8</v>
      </c>
      <c r="B31" s="34" t="s">
        <v>60</v>
      </c>
      <c r="C31" s="26">
        <v>211004.2</v>
      </c>
      <c r="D31" s="22"/>
      <c r="E31" s="26">
        <v>224076.6</v>
      </c>
      <c r="F31" s="26"/>
    </row>
    <row r="32" spans="1:6">
      <c r="A32" s="21">
        <v>9</v>
      </c>
      <c r="B32" s="21" t="s">
        <v>61</v>
      </c>
      <c r="C32" s="22">
        <v>1928.6</v>
      </c>
      <c r="D32" s="22"/>
      <c r="E32" s="22">
        <v>1928.6</v>
      </c>
      <c r="F32" s="26"/>
    </row>
    <row r="33" spans="1:6">
      <c r="A33" s="21">
        <v>10</v>
      </c>
      <c r="B33" s="21" t="s">
        <v>63</v>
      </c>
      <c r="C33" s="22">
        <v>33012</v>
      </c>
      <c r="D33" s="22"/>
      <c r="E33" s="22">
        <v>33012</v>
      </c>
      <c r="F33" s="22"/>
    </row>
    <row r="34" spans="1:6">
      <c r="A34" s="24">
        <v>704</v>
      </c>
      <c r="B34" s="24" t="s">
        <v>54</v>
      </c>
      <c r="C34" s="36">
        <f>SUM(C29:C33)</f>
        <v>310902.09999999998</v>
      </c>
      <c r="D34" s="36">
        <f>SUM(D29:D33)</f>
        <v>750</v>
      </c>
      <c r="E34" s="36">
        <f>SUM(E29:E33)</f>
        <v>323974.5</v>
      </c>
      <c r="F34" s="36">
        <f>SUM(F29:F33)</f>
        <v>800</v>
      </c>
    </row>
    <row r="35" spans="1:6">
      <c r="A35" s="21">
        <v>11</v>
      </c>
      <c r="B35" s="37" t="s">
        <v>64</v>
      </c>
      <c r="C35" s="26">
        <v>66562.899999999994</v>
      </c>
      <c r="D35" s="26">
        <v>140</v>
      </c>
      <c r="E35" s="26">
        <v>69890.899999999994</v>
      </c>
      <c r="F35" s="26">
        <v>140</v>
      </c>
    </row>
    <row r="36" spans="1:6" s="33" customFormat="1">
      <c r="A36" s="38">
        <v>12</v>
      </c>
      <c r="B36" s="38" t="s">
        <v>65</v>
      </c>
      <c r="C36" s="26">
        <v>44118.3</v>
      </c>
      <c r="D36" s="26">
        <v>65</v>
      </c>
      <c r="E36" s="26">
        <v>44118.3</v>
      </c>
      <c r="F36" s="26">
        <v>70</v>
      </c>
    </row>
    <row r="37" spans="1:6">
      <c r="A37" s="21">
        <v>13</v>
      </c>
      <c r="B37" s="37" t="s">
        <v>66</v>
      </c>
      <c r="C37" s="26">
        <v>23583</v>
      </c>
      <c r="D37" s="26">
        <v>71500</v>
      </c>
      <c r="E37" s="26">
        <v>25941.4</v>
      </c>
      <c r="F37" s="26">
        <v>78650</v>
      </c>
    </row>
    <row r="38" spans="1:6">
      <c r="A38" s="38">
        <v>14</v>
      </c>
      <c r="B38" s="34" t="s">
        <v>104</v>
      </c>
      <c r="C38" s="26">
        <v>28449.4</v>
      </c>
      <c r="D38" s="26"/>
      <c r="E38" s="26">
        <v>28449.4</v>
      </c>
      <c r="F38" s="26"/>
    </row>
    <row r="39" spans="1:6">
      <c r="A39" s="24">
        <v>706</v>
      </c>
      <c r="B39" s="24" t="s">
        <v>54</v>
      </c>
      <c r="C39" s="25">
        <f>SUM(C35:C38)</f>
        <v>162713.60000000001</v>
      </c>
      <c r="D39" s="25">
        <f>SUM(D35:D38)</f>
        <v>71705</v>
      </c>
      <c r="E39" s="25">
        <f>SUM(E35:E38)</f>
        <v>168400</v>
      </c>
      <c r="F39" s="25">
        <f>SUM(F35:F38)</f>
        <v>78860</v>
      </c>
    </row>
    <row r="40" spans="1:6" ht="13.15" customHeight="1">
      <c r="A40" s="24"/>
      <c r="B40" s="24"/>
      <c r="C40" s="25"/>
      <c r="D40" s="25"/>
      <c r="E40" s="25"/>
      <c r="F40" s="25"/>
    </row>
    <row r="41" spans="1:6">
      <c r="A41" s="21">
        <v>15</v>
      </c>
      <c r="B41" s="21" t="s">
        <v>68</v>
      </c>
      <c r="C41" s="22">
        <v>4576</v>
      </c>
      <c r="D41" s="22"/>
      <c r="E41" s="22">
        <v>4576</v>
      </c>
      <c r="F41" s="22"/>
    </row>
    <row r="42" spans="1:6">
      <c r="A42" s="21">
        <v>16</v>
      </c>
      <c r="B42" s="21" t="s">
        <v>70</v>
      </c>
      <c r="C42" s="26">
        <v>1597.2</v>
      </c>
      <c r="D42" s="26"/>
      <c r="E42" s="26">
        <v>1691.6</v>
      </c>
      <c r="F42" s="26"/>
    </row>
    <row r="43" spans="1:6">
      <c r="A43" s="21">
        <v>17</v>
      </c>
      <c r="B43" s="21" t="s">
        <v>71</v>
      </c>
      <c r="C43" s="26">
        <v>4593.2</v>
      </c>
      <c r="D43" s="26"/>
      <c r="E43" s="26">
        <v>4823.2</v>
      </c>
      <c r="F43" s="26"/>
    </row>
    <row r="44" spans="1:6" ht="25.5">
      <c r="A44" s="21">
        <v>18</v>
      </c>
      <c r="B44" s="34" t="s">
        <v>145</v>
      </c>
      <c r="C44" s="22">
        <v>10781.7</v>
      </c>
      <c r="D44" s="22"/>
      <c r="E44" s="22">
        <v>10981.7</v>
      </c>
      <c r="F44" s="26"/>
    </row>
    <row r="45" spans="1:6">
      <c r="A45" s="21">
        <v>19</v>
      </c>
      <c r="B45" s="21" t="s">
        <v>72</v>
      </c>
      <c r="C45" s="26">
        <v>5264.4</v>
      </c>
      <c r="D45" s="26">
        <v>233.6</v>
      </c>
      <c r="E45" s="26">
        <v>5264.4</v>
      </c>
      <c r="F45" s="26">
        <v>233.6</v>
      </c>
    </row>
    <row r="46" spans="1:6">
      <c r="A46" s="21">
        <v>20</v>
      </c>
      <c r="B46" s="21" t="s">
        <v>73</v>
      </c>
      <c r="C46" s="26"/>
      <c r="D46" s="26"/>
      <c r="E46" s="26"/>
      <c r="F46" s="26"/>
    </row>
    <row r="47" spans="1:6">
      <c r="A47" s="24">
        <v>708</v>
      </c>
      <c r="B47" s="24" t="s">
        <v>54</v>
      </c>
      <c r="C47" s="25">
        <f>SUM(C41:C46)</f>
        <v>26812.5</v>
      </c>
      <c r="D47" s="25">
        <f>SUM(D41:D46)</f>
        <v>233.6</v>
      </c>
      <c r="E47" s="25">
        <f>SUM(E41:E46)</f>
        <v>27336.9</v>
      </c>
      <c r="F47" s="25">
        <f>SUM(F41:F46)</f>
        <v>233.6</v>
      </c>
    </row>
    <row r="48" spans="1:6" ht="12" customHeight="1">
      <c r="A48" s="24"/>
      <c r="B48" s="24"/>
      <c r="C48" s="25"/>
      <c r="D48" s="25"/>
      <c r="E48" s="25"/>
      <c r="F48" s="25"/>
    </row>
    <row r="49" spans="1:6">
      <c r="A49" s="21">
        <v>21</v>
      </c>
      <c r="B49" s="21" t="s">
        <v>74</v>
      </c>
      <c r="C49" s="26">
        <v>49772</v>
      </c>
      <c r="D49" s="26"/>
      <c r="E49" s="26">
        <v>53261.9</v>
      </c>
      <c r="F49" s="26"/>
    </row>
    <row r="50" spans="1:6">
      <c r="A50" s="21">
        <v>22</v>
      </c>
      <c r="B50" s="21" t="s">
        <v>75</v>
      </c>
      <c r="C50" s="26">
        <v>64573.2</v>
      </c>
      <c r="D50" s="26">
        <v>56962.8</v>
      </c>
      <c r="E50" s="26">
        <v>66126.2</v>
      </c>
      <c r="F50" s="26">
        <v>57012.800000000003</v>
      </c>
    </row>
    <row r="51" spans="1:6">
      <c r="A51" s="21">
        <v>23</v>
      </c>
      <c r="B51" s="21" t="s">
        <v>76</v>
      </c>
      <c r="C51" s="26">
        <v>5375</v>
      </c>
      <c r="D51" s="26"/>
      <c r="E51" s="26">
        <v>5507.1</v>
      </c>
      <c r="F51" s="26"/>
    </row>
    <row r="52" spans="1:6">
      <c r="A52" s="21">
        <v>24</v>
      </c>
      <c r="B52" s="21" t="s">
        <v>100</v>
      </c>
      <c r="C52" s="26"/>
      <c r="D52" s="26"/>
      <c r="E52" s="26"/>
      <c r="F52" s="26"/>
    </row>
    <row r="53" spans="1:6">
      <c r="A53" s="24">
        <v>709</v>
      </c>
      <c r="B53" s="24" t="s">
        <v>54</v>
      </c>
      <c r="C53" s="25">
        <f t="shared" ref="C53:F53" si="2">SUM(C49:C52)</f>
        <v>119720.2</v>
      </c>
      <c r="D53" s="25">
        <f t="shared" si="2"/>
        <v>56962.8</v>
      </c>
      <c r="E53" s="25">
        <f t="shared" si="2"/>
        <v>124895.20000000001</v>
      </c>
      <c r="F53" s="25">
        <f t="shared" si="2"/>
        <v>57012.800000000003</v>
      </c>
    </row>
    <row r="54" spans="1:6" ht="9.4" customHeight="1">
      <c r="A54" s="24"/>
      <c r="B54" s="24"/>
      <c r="C54" s="25"/>
      <c r="D54" s="25"/>
      <c r="E54" s="25"/>
      <c r="F54" s="25"/>
    </row>
    <row r="55" spans="1:6">
      <c r="A55" s="21">
        <v>25</v>
      </c>
      <c r="B55" s="21" t="s">
        <v>77</v>
      </c>
      <c r="C55" s="26">
        <v>9692.7999999999993</v>
      </c>
      <c r="D55" s="26"/>
      <c r="E55" s="26">
        <v>9692.7999999999993</v>
      </c>
      <c r="F55" s="26"/>
    </row>
    <row r="56" spans="1:6">
      <c r="A56" s="21">
        <v>26</v>
      </c>
      <c r="B56" s="21" t="s">
        <v>78</v>
      </c>
      <c r="C56" s="26">
        <v>1075.5</v>
      </c>
      <c r="D56" s="26"/>
      <c r="E56" s="26">
        <v>1075.5</v>
      </c>
      <c r="F56" s="26"/>
    </row>
    <row r="57" spans="1:6">
      <c r="A57" s="24">
        <v>710</v>
      </c>
      <c r="B57" s="24" t="s">
        <v>54</v>
      </c>
      <c r="C57" s="25">
        <f>SUM(C55:C56)</f>
        <v>10768.3</v>
      </c>
      <c r="D57" s="25">
        <f>SUM(D55:D56)</f>
        <v>0</v>
      </c>
      <c r="E57" s="25">
        <f>SUM(E55:E56)</f>
        <v>10768.3</v>
      </c>
      <c r="F57" s="25">
        <f>SUM(F55:F56)</f>
        <v>0</v>
      </c>
    </row>
    <row r="60" spans="1:6" ht="15.75">
      <c r="B60" s="3" t="s">
        <v>328</v>
      </c>
      <c r="C60" s="4"/>
      <c r="D60" s="4"/>
      <c r="E60" s="4"/>
      <c r="F60" s="4"/>
    </row>
  </sheetData>
  <mergeCells count="5">
    <mergeCell ref="B7:F7"/>
    <mergeCell ref="B8:F8"/>
    <mergeCell ref="A9:F9"/>
    <mergeCell ref="C10:D10"/>
    <mergeCell ref="E10:F10"/>
  </mergeCells>
  <pageMargins left="0.9055118110236221" right="0.70866141732283472" top="0.55118110236220474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0" zoomScaleNormal="110" workbookViewId="0">
      <selection activeCell="G9" sqref="G9"/>
    </sheetView>
  </sheetViews>
  <sheetFormatPr defaultColWidth="9.28515625" defaultRowHeight="12.75"/>
  <cols>
    <col min="1" max="1" width="36" style="9" customWidth="1"/>
    <col min="2" max="2" width="42.7109375" style="9" customWidth="1"/>
    <col min="3" max="16384" width="9.28515625" style="9"/>
  </cols>
  <sheetData>
    <row r="1" spans="1:4">
      <c r="A1" s="1"/>
      <c r="B1" s="1"/>
      <c r="C1" s="6" t="s">
        <v>0</v>
      </c>
    </row>
    <row r="2" spans="1:4">
      <c r="A2" s="1"/>
      <c r="B2" s="1"/>
      <c r="C2" s="109" t="s">
        <v>325</v>
      </c>
    </row>
    <row r="3" spans="1:4">
      <c r="A3" s="1"/>
      <c r="B3" s="1"/>
      <c r="C3" s="6" t="s">
        <v>326</v>
      </c>
    </row>
    <row r="4" spans="1:4">
      <c r="A4" s="7"/>
      <c r="B4" s="7"/>
      <c r="C4" s="6" t="s">
        <v>327</v>
      </c>
    </row>
    <row r="5" spans="1:4">
      <c r="A5" s="7"/>
      <c r="B5" s="7"/>
      <c r="C5" s="71" t="s">
        <v>329</v>
      </c>
    </row>
    <row r="6" spans="1:4">
      <c r="A6" s="7"/>
      <c r="B6" s="7"/>
      <c r="C6" s="71"/>
    </row>
    <row r="7" spans="1:4" ht="12.75" customHeight="1">
      <c r="A7" s="308" t="s">
        <v>203</v>
      </c>
      <c r="B7" s="308"/>
    </row>
    <row r="8" spans="1:4">
      <c r="A8" s="72"/>
      <c r="B8" s="72"/>
    </row>
    <row r="9" spans="1:4" ht="25.5">
      <c r="A9" s="73" t="s">
        <v>17</v>
      </c>
      <c r="B9" s="73" t="s">
        <v>88</v>
      </c>
      <c r="C9" s="78"/>
    </row>
    <row r="10" spans="1:4">
      <c r="A10" s="74"/>
      <c r="B10" s="74"/>
      <c r="C10" s="139"/>
    </row>
    <row r="11" spans="1:4">
      <c r="A11" s="75" t="s">
        <v>204</v>
      </c>
      <c r="B11" s="75"/>
      <c r="C11" s="76">
        <f>SUM(C13)</f>
        <v>107929.1</v>
      </c>
      <c r="D11" s="84"/>
    </row>
    <row r="12" spans="1:4">
      <c r="A12" s="75"/>
      <c r="B12" s="75"/>
      <c r="C12" s="76"/>
    </row>
    <row r="13" spans="1:4">
      <c r="A13" s="78" t="s">
        <v>60</v>
      </c>
      <c r="B13" s="78" t="s">
        <v>177</v>
      </c>
      <c r="C13" s="123">
        <v>107929.1</v>
      </c>
    </row>
    <row r="14" spans="1:4">
      <c r="A14" s="32"/>
      <c r="B14" s="78"/>
      <c r="C14" s="121"/>
    </row>
    <row r="17" spans="1:1">
      <c r="A17" s="3" t="s">
        <v>328</v>
      </c>
    </row>
  </sheetData>
  <mergeCells count="1">
    <mergeCell ref="A7:B7"/>
  </mergeCells>
  <printOptions horizontalCentered="1"/>
  <pageMargins left="0.19685039370078741" right="0" top="0.9448818897637796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C36" sqref="C36"/>
    </sheetView>
  </sheetViews>
  <sheetFormatPr defaultColWidth="9.28515625" defaultRowHeight="12.75"/>
  <cols>
    <col min="1" max="1" width="69.140625" style="48" customWidth="1"/>
    <col min="2" max="2" width="17.42578125" style="48" customWidth="1"/>
    <col min="3" max="16384" width="9.28515625" style="48"/>
  </cols>
  <sheetData>
    <row r="1" spans="1:2">
      <c r="A1" s="80"/>
      <c r="B1" s="6" t="s">
        <v>0</v>
      </c>
    </row>
    <row r="2" spans="1:2">
      <c r="A2" s="80"/>
      <c r="B2" s="109" t="s">
        <v>325</v>
      </c>
    </row>
    <row r="3" spans="1:2">
      <c r="A3" s="80"/>
      <c r="B3" s="6" t="s">
        <v>330</v>
      </c>
    </row>
    <row r="4" spans="1:2">
      <c r="A4" s="67"/>
      <c r="B4" s="6" t="s">
        <v>327</v>
      </c>
    </row>
    <row r="5" spans="1:2">
      <c r="A5" s="67"/>
      <c r="B5" s="10" t="s">
        <v>161</v>
      </c>
    </row>
    <row r="6" spans="1:2">
      <c r="A6" s="67"/>
      <c r="B6" s="10"/>
    </row>
    <row r="7" spans="1:2">
      <c r="A7" s="309" t="s">
        <v>203</v>
      </c>
      <c r="B7" s="309"/>
    </row>
    <row r="8" spans="1:2" ht="13.5" thickBot="1">
      <c r="A8" s="110" t="s">
        <v>89</v>
      </c>
      <c r="B8" s="48" t="s">
        <v>90</v>
      </c>
    </row>
    <row r="9" spans="1:2" ht="26.25" thickBot="1">
      <c r="A9" s="111" t="s">
        <v>17</v>
      </c>
      <c r="B9" s="112" t="s">
        <v>18</v>
      </c>
    </row>
    <row r="10" spans="1:2">
      <c r="A10" s="113"/>
      <c r="B10" s="114"/>
    </row>
    <row r="11" spans="1:2">
      <c r="A11" s="81"/>
      <c r="B11" s="115"/>
    </row>
    <row r="12" spans="1:2">
      <c r="A12" s="53" t="s">
        <v>204</v>
      </c>
      <c r="B12" s="79">
        <f>SUM(B18,B22,B24,B26)+B15</f>
        <v>4383.3590000000004</v>
      </c>
    </row>
    <row r="13" spans="1:2">
      <c r="A13" s="37"/>
      <c r="B13" s="107"/>
    </row>
    <row r="14" spans="1:2">
      <c r="A14" s="37" t="s">
        <v>91</v>
      </c>
      <c r="B14" s="54">
        <v>112.343</v>
      </c>
    </row>
    <row r="15" spans="1:2">
      <c r="A15" s="53" t="s">
        <v>92</v>
      </c>
      <c r="B15" s="79">
        <f>SUM(B14:B14)</f>
        <v>112.343</v>
      </c>
    </row>
    <row r="16" spans="1:2">
      <c r="A16" s="37" t="s">
        <v>93</v>
      </c>
      <c r="B16" s="54">
        <v>106.54900000000001</v>
      </c>
    </row>
    <row r="17" spans="1:10">
      <c r="A17" s="37" t="s">
        <v>60</v>
      </c>
      <c r="B17" s="54">
        <v>6.5490000000000004</v>
      </c>
    </row>
    <row r="18" spans="1:10">
      <c r="A18" s="53" t="s">
        <v>94</v>
      </c>
      <c r="B18" s="79">
        <f>SUM(B16:B17)</f>
        <v>113.09800000000001</v>
      </c>
    </row>
    <row r="19" spans="1:10">
      <c r="A19" s="37" t="s">
        <v>95</v>
      </c>
      <c r="B19" s="54">
        <v>118.715</v>
      </c>
    </row>
    <row r="20" spans="1:10">
      <c r="A20" s="37" t="s">
        <v>65</v>
      </c>
      <c r="B20" s="54">
        <v>98.572999999999993</v>
      </c>
    </row>
    <row r="21" spans="1:10">
      <c r="A21" s="37" t="s">
        <v>66</v>
      </c>
      <c r="B21" s="54">
        <v>3390.7080000000001</v>
      </c>
    </row>
    <row r="22" spans="1:10">
      <c r="A22" s="53" t="s">
        <v>96</v>
      </c>
      <c r="B22" s="79">
        <f>SUM(B19:B21)</f>
        <v>3607.9960000000001</v>
      </c>
    </row>
    <row r="23" spans="1:10">
      <c r="A23" s="37" t="s">
        <v>86</v>
      </c>
      <c r="B23" s="54">
        <v>204.42</v>
      </c>
    </row>
    <row r="24" spans="1:10">
      <c r="A24" s="53" t="s">
        <v>97</v>
      </c>
      <c r="B24" s="79">
        <f>SUM(B23:B23)</f>
        <v>204.42</v>
      </c>
    </row>
    <row r="25" spans="1:10">
      <c r="A25" s="37" t="s">
        <v>98</v>
      </c>
      <c r="B25" s="54">
        <v>345.50200000000001</v>
      </c>
    </row>
    <row r="26" spans="1:10">
      <c r="A26" s="53" t="s">
        <v>99</v>
      </c>
      <c r="B26" s="79">
        <f>SUM(B25:B25)</f>
        <v>345.50200000000001</v>
      </c>
    </row>
    <row r="27" spans="1:10">
      <c r="A27" s="37"/>
      <c r="B27" s="107"/>
    </row>
    <row r="29" spans="1:10">
      <c r="A29" s="3" t="s">
        <v>328</v>
      </c>
      <c r="B29" s="40"/>
      <c r="C29" s="40"/>
      <c r="D29" s="40"/>
      <c r="E29" s="41"/>
      <c r="F29" s="42"/>
      <c r="G29" s="42"/>
      <c r="H29" s="42"/>
      <c r="I29" s="42"/>
      <c r="J29" s="43"/>
    </row>
    <row r="30" spans="1:10" ht="15.75">
      <c r="A30" s="4"/>
    </row>
  </sheetData>
  <mergeCells count="1">
    <mergeCell ref="A7:B7"/>
  </mergeCells>
  <printOptions horizontalCentered="1"/>
  <pageMargins left="0.19685039370078741" right="0" top="0.9448818897637796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S15" sqref="S15"/>
    </sheetView>
  </sheetViews>
  <sheetFormatPr defaultRowHeight="12.75"/>
  <cols>
    <col min="1" max="1" width="6.28515625" customWidth="1"/>
    <col min="2" max="2" width="26.42578125" customWidth="1"/>
    <col min="4" max="4" width="0" hidden="1" customWidth="1"/>
    <col min="7" max="7" width="7" customWidth="1"/>
    <col min="8" max="8" width="10.42578125" customWidth="1"/>
    <col min="9" max="9" width="6.42578125" bestFit="1" customWidth="1"/>
    <col min="10" max="10" width="9.28515625" bestFit="1" customWidth="1"/>
    <col min="11" max="11" width="9.28515625" customWidth="1"/>
    <col min="12" max="12" width="7.28515625" customWidth="1"/>
    <col min="13" max="13" width="11" customWidth="1"/>
    <col min="14" max="14" width="9.7109375" hidden="1" customWidth="1"/>
    <col min="15" max="15" width="7.28515625" customWidth="1"/>
    <col min="16" max="16" width="8.7109375" customWidth="1"/>
    <col min="17" max="17" width="10.85546875" customWidth="1"/>
    <col min="18" max="18" width="10.85546875" hidden="1" customWidth="1"/>
    <col min="19" max="19" width="11.7109375" customWidth="1"/>
    <col min="20" max="20" width="9.85546875" bestFit="1" customWidth="1"/>
    <col min="21" max="21" width="11.7109375" hidden="1" customWidth="1"/>
    <col min="22" max="22" width="9.42578125" hidden="1" customWidth="1"/>
    <col min="23" max="24" width="0" hidden="1" customWidth="1"/>
    <col min="25" max="25" width="10.28515625" bestFit="1" customWidth="1"/>
    <col min="258" max="258" width="6.28515625" customWidth="1"/>
    <col min="259" max="259" width="26.42578125" customWidth="1"/>
    <col min="263" max="263" width="7" customWidth="1"/>
    <col min="264" max="264" width="10.42578125" customWidth="1"/>
    <col min="265" max="265" width="6.42578125" bestFit="1" customWidth="1"/>
    <col min="266" max="266" width="9.28515625" bestFit="1" customWidth="1"/>
    <col min="267" max="267" width="9.28515625" customWidth="1"/>
    <col min="268" max="268" width="7.28515625" customWidth="1"/>
    <col min="269" max="269" width="11" customWidth="1"/>
    <col min="270" max="270" width="0" hidden="1" customWidth="1"/>
    <col min="271" max="271" width="7.28515625" customWidth="1"/>
    <col min="272" max="272" width="8.7109375" customWidth="1"/>
    <col min="273" max="273" width="10.85546875" customWidth="1"/>
    <col min="274" max="274" width="0" hidden="1" customWidth="1"/>
    <col min="275" max="275" width="11.7109375" customWidth="1"/>
    <col min="277" max="280" width="0" hidden="1" customWidth="1"/>
    <col min="514" max="514" width="6.28515625" customWidth="1"/>
    <col min="515" max="515" width="26.42578125" customWidth="1"/>
    <col min="519" max="519" width="7" customWidth="1"/>
    <col min="520" max="520" width="10.42578125" customWidth="1"/>
    <col min="521" max="521" width="6.42578125" bestFit="1" customWidth="1"/>
    <col min="522" max="522" width="9.28515625" bestFit="1" customWidth="1"/>
    <col min="523" max="523" width="9.28515625" customWidth="1"/>
    <col min="524" max="524" width="7.28515625" customWidth="1"/>
    <col min="525" max="525" width="11" customWidth="1"/>
    <col min="526" max="526" width="0" hidden="1" customWidth="1"/>
    <col min="527" max="527" width="7.28515625" customWidth="1"/>
    <col min="528" max="528" width="8.7109375" customWidth="1"/>
    <col min="529" max="529" width="10.85546875" customWidth="1"/>
    <col min="530" max="530" width="0" hidden="1" customWidth="1"/>
    <col min="531" max="531" width="11.7109375" customWidth="1"/>
    <col min="533" max="536" width="0" hidden="1" customWidth="1"/>
    <col min="770" max="770" width="6.28515625" customWidth="1"/>
    <col min="771" max="771" width="26.42578125" customWidth="1"/>
    <col min="775" max="775" width="7" customWidth="1"/>
    <col min="776" max="776" width="10.42578125" customWidth="1"/>
    <col min="777" max="777" width="6.42578125" bestFit="1" customWidth="1"/>
    <col min="778" max="778" width="9.28515625" bestFit="1" customWidth="1"/>
    <col min="779" max="779" width="9.28515625" customWidth="1"/>
    <col min="780" max="780" width="7.28515625" customWidth="1"/>
    <col min="781" max="781" width="11" customWidth="1"/>
    <col min="782" max="782" width="0" hidden="1" customWidth="1"/>
    <col min="783" max="783" width="7.28515625" customWidth="1"/>
    <col min="784" max="784" width="8.7109375" customWidth="1"/>
    <col min="785" max="785" width="10.85546875" customWidth="1"/>
    <col min="786" max="786" width="0" hidden="1" customWidth="1"/>
    <col min="787" max="787" width="11.7109375" customWidth="1"/>
    <col min="789" max="792" width="0" hidden="1" customWidth="1"/>
    <col min="1026" max="1026" width="6.28515625" customWidth="1"/>
    <col min="1027" max="1027" width="26.42578125" customWidth="1"/>
    <col min="1031" max="1031" width="7" customWidth="1"/>
    <col min="1032" max="1032" width="10.42578125" customWidth="1"/>
    <col min="1033" max="1033" width="6.42578125" bestFit="1" customWidth="1"/>
    <col min="1034" max="1034" width="9.28515625" bestFit="1" customWidth="1"/>
    <col min="1035" max="1035" width="9.28515625" customWidth="1"/>
    <col min="1036" max="1036" width="7.28515625" customWidth="1"/>
    <col min="1037" max="1037" width="11" customWidth="1"/>
    <col min="1038" max="1038" width="0" hidden="1" customWidth="1"/>
    <col min="1039" max="1039" width="7.28515625" customWidth="1"/>
    <col min="1040" max="1040" width="8.7109375" customWidth="1"/>
    <col min="1041" max="1041" width="10.85546875" customWidth="1"/>
    <col min="1042" max="1042" width="0" hidden="1" customWidth="1"/>
    <col min="1043" max="1043" width="11.7109375" customWidth="1"/>
    <col min="1045" max="1048" width="0" hidden="1" customWidth="1"/>
    <col min="1282" max="1282" width="6.28515625" customWidth="1"/>
    <col min="1283" max="1283" width="26.42578125" customWidth="1"/>
    <col min="1287" max="1287" width="7" customWidth="1"/>
    <col min="1288" max="1288" width="10.42578125" customWidth="1"/>
    <col min="1289" max="1289" width="6.42578125" bestFit="1" customWidth="1"/>
    <col min="1290" max="1290" width="9.28515625" bestFit="1" customWidth="1"/>
    <col min="1291" max="1291" width="9.28515625" customWidth="1"/>
    <col min="1292" max="1292" width="7.28515625" customWidth="1"/>
    <col min="1293" max="1293" width="11" customWidth="1"/>
    <col min="1294" max="1294" width="0" hidden="1" customWidth="1"/>
    <col min="1295" max="1295" width="7.28515625" customWidth="1"/>
    <col min="1296" max="1296" width="8.7109375" customWidth="1"/>
    <col min="1297" max="1297" width="10.85546875" customWidth="1"/>
    <col min="1298" max="1298" width="0" hidden="1" customWidth="1"/>
    <col min="1299" max="1299" width="11.7109375" customWidth="1"/>
    <col min="1301" max="1304" width="0" hidden="1" customWidth="1"/>
    <col min="1538" max="1538" width="6.28515625" customWidth="1"/>
    <col min="1539" max="1539" width="26.42578125" customWidth="1"/>
    <col min="1543" max="1543" width="7" customWidth="1"/>
    <col min="1544" max="1544" width="10.42578125" customWidth="1"/>
    <col min="1545" max="1545" width="6.42578125" bestFit="1" customWidth="1"/>
    <col min="1546" max="1546" width="9.28515625" bestFit="1" customWidth="1"/>
    <col min="1547" max="1547" width="9.28515625" customWidth="1"/>
    <col min="1548" max="1548" width="7.28515625" customWidth="1"/>
    <col min="1549" max="1549" width="11" customWidth="1"/>
    <col min="1550" max="1550" width="0" hidden="1" customWidth="1"/>
    <col min="1551" max="1551" width="7.28515625" customWidth="1"/>
    <col min="1552" max="1552" width="8.7109375" customWidth="1"/>
    <col min="1553" max="1553" width="10.85546875" customWidth="1"/>
    <col min="1554" max="1554" width="0" hidden="1" customWidth="1"/>
    <col min="1555" max="1555" width="11.7109375" customWidth="1"/>
    <col min="1557" max="1560" width="0" hidden="1" customWidth="1"/>
    <col min="1794" max="1794" width="6.28515625" customWidth="1"/>
    <col min="1795" max="1795" width="26.42578125" customWidth="1"/>
    <col min="1799" max="1799" width="7" customWidth="1"/>
    <col min="1800" max="1800" width="10.42578125" customWidth="1"/>
    <col min="1801" max="1801" width="6.42578125" bestFit="1" customWidth="1"/>
    <col min="1802" max="1802" width="9.28515625" bestFit="1" customWidth="1"/>
    <col min="1803" max="1803" width="9.28515625" customWidth="1"/>
    <col min="1804" max="1804" width="7.28515625" customWidth="1"/>
    <col min="1805" max="1805" width="11" customWidth="1"/>
    <col min="1806" max="1806" width="0" hidden="1" customWidth="1"/>
    <col min="1807" max="1807" width="7.28515625" customWidth="1"/>
    <col min="1808" max="1808" width="8.7109375" customWidth="1"/>
    <col min="1809" max="1809" width="10.85546875" customWidth="1"/>
    <col min="1810" max="1810" width="0" hidden="1" customWidth="1"/>
    <col min="1811" max="1811" width="11.7109375" customWidth="1"/>
    <col min="1813" max="1816" width="0" hidden="1" customWidth="1"/>
    <col min="2050" max="2050" width="6.28515625" customWidth="1"/>
    <col min="2051" max="2051" width="26.42578125" customWidth="1"/>
    <col min="2055" max="2055" width="7" customWidth="1"/>
    <col min="2056" max="2056" width="10.42578125" customWidth="1"/>
    <col min="2057" max="2057" width="6.42578125" bestFit="1" customWidth="1"/>
    <col min="2058" max="2058" width="9.28515625" bestFit="1" customWidth="1"/>
    <col min="2059" max="2059" width="9.28515625" customWidth="1"/>
    <col min="2060" max="2060" width="7.28515625" customWidth="1"/>
    <col min="2061" max="2061" width="11" customWidth="1"/>
    <col min="2062" max="2062" width="0" hidden="1" customWidth="1"/>
    <col min="2063" max="2063" width="7.28515625" customWidth="1"/>
    <col min="2064" max="2064" width="8.7109375" customWidth="1"/>
    <col min="2065" max="2065" width="10.85546875" customWidth="1"/>
    <col min="2066" max="2066" width="0" hidden="1" customWidth="1"/>
    <col min="2067" max="2067" width="11.7109375" customWidth="1"/>
    <col min="2069" max="2072" width="0" hidden="1" customWidth="1"/>
    <col min="2306" max="2306" width="6.28515625" customWidth="1"/>
    <col min="2307" max="2307" width="26.42578125" customWidth="1"/>
    <col min="2311" max="2311" width="7" customWidth="1"/>
    <col min="2312" max="2312" width="10.42578125" customWidth="1"/>
    <col min="2313" max="2313" width="6.42578125" bestFit="1" customWidth="1"/>
    <col min="2314" max="2314" width="9.28515625" bestFit="1" customWidth="1"/>
    <col min="2315" max="2315" width="9.28515625" customWidth="1"/>
    <col min="2316" max="2316" width="7.28515625" customWidth="1"/>
    <col min="2317" max="2317" width="11" customWidth="1"/>
    <col min="2318" max="2318" width="0" hidden="1" customWidth="1"/>
    <col min="2319" max="2319" width="7.28515625" customWidth="1"/>
    <col min="2320" max="2320" width="8.7109375" customWidth="1"/>
    <col min="2321" max="2321" width="10.85546875" customWidth="1"/>
    <col min="2322" max="2322" width="0" hidden="1" customWidth="1"/>
    <col min="2323" max="2323" width="11.7109375" customWidth="1"/>
    <col min="2325" max="2328" width="0" hidden="1" customWidth="1"/>
    <col min="2562" max="2562" width="6.28515625" customWidth="1"/>
    <col min="2563" max="2563" width="26.42578125" customWidth="1"/>
    <col min="2567" max="2567" width="7" customWidth="1"/>
    <col min="2568" max="2568" width="10.42578125" customWidth="1"/>
    <col min="2569" max="2569" width="6.42578125" bestFit="1" customWidth="1"/>
    <col min="2570" max="2570" width="9.28515625" bestFit="1" customWidth="1"/>
    <col min="2571" max="2571" width="9.28515625" customWidth="1"/>
    <col min="2572" max="2572" width="7.28515625" customWidth="1"/>
    <col min="2573" max="2573" width="11" customWidth="1"/>
    <col min="2574" max="2574" width="0" hidden="1" customWidth="1"/>
    <col min="2575" max="2575" width="7.28515625" customWidth="1"/>
    <col min="2576" max="2576" width="8.7109375" customWidth="1"/>
    <col min="2577" max="2577" width="10.85546875" customWidth="1"/>
    <col min="2578" max="2578" width="0" hidden="1" customWidth="1"/>
    <col min="2579" max="2579" width="11.7109375" customWidth="1"/>
    <col min="2581" max="2584" width="0" hidden="1" customWidth="1"/>
    <col min="2818" max="2818" width="6.28515625" customWidth="1"/>
    <col min="2819" max="2819" width="26.42578125" customWidth="1"/>
    <col min="2823" max="2823" width="7" customWidth="1"/>
    <col min="2824" max="2824" width="10.42578125" customWidth="1"/>
    <col min="2825" max="2825" width="6.42578125" bestFit="1" customWidth="1"/>
    <col min="2826" max="2826" width="9.28515625" bestFit="1" customWidth="1"/>
    <col min="2827" max="2827" width="9.28515625" customWidth="1"/>
    <col min="2828" max="2828" width="7.28515625" customWidth="1"/>
    <col min="2829" max="2829" width="11" customWidth="1"/>
    <col min="2830" max="2830" width="0" hidden="1" customWidth="1"/>
    <col min="2831" max="2831" width="7.28515625" customWidth="1"/>
    <col min="2832" max="2832" width="8.7109375" customWidth="1"/>
    <col min="2833" max="2833" width="10.85546875" customWidth="1"/>
    <col min="2834" max="2834" width="0" hidden="1" customWidth="1"/>
    <col min="2835" max="2835" width="11.7109375" customWidth="1"/>
    <col min="2837" max="2840" width="0" hidden="1" customWidth="1"/>
    <col min="3074" max="3074" width="6.28515625" customWidth="1"/>
    <col min="3075" max="3075" width="26.42578125" customWidth="1"/>
    <col min="3079" max="3079" width="7" customWidth="1"/>
    <col min="3080" max="3080" width="10.42578125" customWidth="1"/>
    <col min="3081" max="3081" width="6.42578125" bestFit="1" customWidth="1"/>
    <col min="3082" max="3082" width="9.28515625" bestFit="1" customWidth="1"/>
    <col min="3083" max="3083" width="9.28515625" customWidth="1"/>
    <col min="3084" max="3084" width="7.28515625" customWidth="1"/>
    <col min="3085" max="3085" width="11" customWidth="1"/>
    <col min="3086" max="3086" width="0" hidden="1" customWidth="1"/>
    <col min="3087" max="3087" width="7.28515625" customWidth="1"/>
    <col min="3088" max="3088" width="8.7109375" customWidth="1"/>
    <col min="3089" max="3089" width="10.85546875" customWidth="1"/>
    <col min="3090" max="3090" width="0" hidden="1" customWidth="1"/>
    <col min="3091" max="3091" width="11.7109375" customWidth="1"/>
    <col min="3093" max="3096" width="0" hidden="1" customWidth="1"/>
    <col min="3330" max="3330" width="6.28515625" customWidth="1"/>
    <col min="3331" max="3331" width="26.42578125" customWidth="1"/>
    <col min="3335" max="3335" width="7" customWidth="1"/>
    <col min="3336" max="3336" width="10.42578125" customWidth="1"/>
    <col min="3337" max="3337" width="6.42578125" bestFit="1" customWidth="1"/>
    <col min="3338" max="3338" width="9.28515625" bestFit="1" customWidth="1"/>
    <col min="3339" max="3339" width="9.28515625" customWidth="1"/>
    <col min="3340" max="3340" width="7.28515625" customWidth="1"/>
    <col min="3341" max="3341" width="11" customWidth="1"/>
    <col min="3342" max="3342" width="0" hidden="1" customWidth="1"/>
    <col min="3343" max="3343" width="7.28515625" customWidth="1"/>
    <col min="3344" max="3344" width="8.7109375" customWidth="1"/>
    <col min="3345" max="3345" width="10.85546875" customWidth="1"/>
    <col min="3346" max="3346" width="0" hidden="1" customWidth="1"/>
    <col min="3347" max="3347" width="11.7109375" customWidth="1"/>
    <col min="3349" max="3352" width="0" hidden="1" customWidth="1"/>
    <col min="3586" max="3586" width="6.28515625" customWidth="1"/>
    <col min="3587" max="3587" width="26.42578125" customWidth="1"/>
    <col min="3591" max="3591" width="7" customWidth="1"/>
    <col min="3592" max="3592" width="10.42578125" customWidth="1"/>
    <col min="3593" max="3593" width="6.42578125" bestFit="1" customWidth="1"/>
    <col min="3594" max="3594" width="9.28515625" bestFit="1" customWidth="1"/>
    <col min="3595" max="3595" width="9.28515625" customWidth="1"/>
    <col min="3596" max="3596" width="7.28515625" customWidth="1"/>
    <col min="3597" max="3597" width="11" customWidth="1"/>
    <col min="3598" max="3598" width="0" hidden="1" customWidth="1"/>
    <col min="3599" max="3599" width="7.28515625" customWidth="1"/>
    <col min="3600" max="3600" width="8.7109375" customWidth="1"/>
    <col min="3601" max="3601" width="10.85546875" customWidth="1"/>
    <col min="3602" max="3602" width="0" hidden="1" customWidth="1"/>
    <col min="3603" max="3603" width="11.7109375" customWidth="1"/>
    <col min="3605" max="3608" width="0" hidden="1" customWidth="1"/>
    <col min="3842" max="3842" width="6.28515625" customWidth="1"/>
    <col min="3843" max="3843" width="26.42578125" customWidth="1"/>
    <col min="3847" max="3847" width="7" customWidth="1"/>
    <col min="3848" max="3848" width="10.42578125" customWidth="1"/>
    <col min="3849" max="3849" width="6.42578125" bestFit="1" customWidth="1"/>
    <col min="3850" max="3850" width="9.28515625" bestFit="1" customWidth="1"/>
    <col min="3851" max="3851" width="9.28515625" customWidth="1"/>
    <col min="3852" max="3852" width="7.28515625" customWidth="1"/>
    <col min="3853" max="3853" width="11" customWidth="1"/>
    <col min="3854" max="3854" width="0" hidden="1" customWidth="1"/>
    <col min="3855" max="3855" width="7.28515625" customWidth="1"/>
    <col min="3856" max="3856" width="8.7109375" customWidth="1"/>
    <col min="3857" max="3857" width="10.85546875" customWidth="1"/>
    <col min="3858" max="3858" width="0" hidden="1" customWidth="1"/>
    <col min="3859" max="3859" width="11.7109375" customWidth="1"/>
    <col min="3861" max="3864" width="0" hidden="1" customWidth="1"/>
    <col min="4098" max="4098" width="6.28515625" customWidth="1"/>
    <col min="4099" max="4099" width="26.42578125" customWidth="1"/>
    <col min="4103" max="4103" width="7" customWidth="1"/>
    <col min="4104" max="4104" width="10.42578125" customWidth="1"/>
    <col min="4105" max="4105" width="6.42578125" bestFit="1" customWidth="1"/>
    <col min="4106" max="4106" width="9.28515625" bestFit="1" customWidth="1"/>
    <col min="4107" max="4107" width="9.28515625" customWidth="1"/>
    <col min="4108" max="4108" width="7.28515625" customWidth="1"/>
    <col min="4109" max="4109" width="11" customWidth="1"/>
    <col min="4110" max="4110" width="0" hidden="1" customWidth="1"/>
    <col min="4111" max="4111" width="7.28515625" customWidth="1"/>
    <col min="4112" max="4112" width="8.7109375" customWidth="1"/>
    <col min="4113" max="4113" width="10.85546875" customWidth="1"/>
    <col min="4114" max="4114" width="0" hidden="1" customWidth="1"/>
    <col min="4115" max="4115" width="11.7109375" customWidth="1"/>
    <col min="4117" max="4120" width="0" hidden="1" customWidth="1"/>
    <col min="4354" max="4354" width="6.28515625" customWidth="1"/>
    <col min="4355" max="4355" width="26.42578125" customWidth="1"/>
    <col min="4359" max="4359" width="7" customWidth="1"/>
    <col min="4360" max="4360" width="10.42578125" customWidth="1"/>
    <col min="4361" max="4361" width="6.42578125" bestFit="1" customWidth="1"/>
    <col min="4362" max="4362" width="9.28515625" bestFit="1" customWidth="1"/>
    <col min="4363" max="4363" width="9.28515625" customWidth="1"/>
    <col min="4364" max="4364" width="7.28515625" customWidth="1"/>
    <col min="4365" max="4365" width="11" customWidth="1"/>
    <col min="4366" max="4366" width="0" hidden="1" customWidth="1"/>
    <col min="4367" max="4367" width="7.28515625" customWidth="1"/>
    <col min="4368" max="4368" width="8.7109375" customWidth="1"/>
    <col min="4369" max="4369" width="10.85546875" customWidth="1"/>
    <col min="4370" max="4370" width="0" hidden="1" customWidth="1"/>
    <col min="4371" max="4371" width="11.7109375" customWidth="1"/>
    <col min="4373" max="4376" width="0" hidden="1" customWidth="1"/>
    <col min="4610" max="4610" width="6.28515625" customWidth="1"/>
    <col min="4611" max="4611" width="26.42578125" customWidth="1"/>
    <col min="4615" max="4615" width="7" customWidth="1"/>
    <col min="4616" max="4616" width="10.42578125" customWidth="1"/>
    <col min="4617" max="4617" width="6.42578125" bestFit="1" customWidth="1"/>
    <col min="4618" max="4618" width="9.28515625" bestFit="1" customWidth="1"/>
    <col min="4619" max="4619" width="9.28515625" customWidth="1"/>
    <col min="4620" max="4620" width="7.28515625" customWidth="1"/>
    <col min="4621" max="4621" width="11" customWidth="1"/>
    <col min="4622" max="4622" width="0" hidden="1" customWidth="1"/>
    <col min="4623" max="4623" width="7.28515625" customWidth="1"/>
    <col min="4624" max="4624" width="8.7109375" customWidth="1"/>
    <col min="4625" max="4625" width="10.85546875" customWidth="1"/>
    <col min="4626" max="4626" width="0" hidden="1" customWidth="1"/>
    <col min="4627" max="4627" width="11.7109375" customWidth="1"/>
    <col min="4629" max="4632" width="0" hidden="1" customWidth="1"/>
    <col min="4866" max="4866" width="6.28515625" customWidth="1"/>
    <col min="4867" max="4867" width="26.42578125" customWidth="1"/>
    <col min="4871" max="4871" width="7" customWidth="1"/>
    <col min="4872" max="4872" width="10.42578125" customWidth="1"/>
    <col min="4873" max="4873" width="6.42578125" bestFit="1" customWidth="1"/>
    <col min="4874" max="4874" width="9.28515625" bestFit="1" customWidth="1"/>
    <col min="4875" max="4875" width="9.28515625" customWidth="1"/>
    <col min="4876" max="4876" width="7.28515625" customWidth="1"/>
    <col min="4877" max="4877" width="11" customWidth="1"/>
    <col min="4878" max="4878" width="0" hidden="1" customWidth="1"/>
    <col min="4879" max="4879" width="7.28515625" customWidth="1"/>
    <col min="4880" max="4880" width="8.7109375" customWidth="1"/>
    <col min="4881" max="4881" width="10.85546875" customWidth="1"/>
    <col min="4882" max="4882" width="0" hidden="1" customWidth="1"/>
    <col min="4883" max="4883" width="11.7109375" customWidth="1"/>
    <col min="4885" max="4888" width="0" hidden="1" customWidth="1"/>
    <col min="5122" max="5122" width="6.28515625" customWidth="1"/>
    <col min="5123" max="5123" width="26.42578125" customWidth="1"/>
    <col min="5127" max="5127" width="7" customWidth="1"/>
    <col min="5128" max="5128" width="10.42578125" customWidth="1"/>
    <col min="5129" max="5129" width="6.42578125" bestFit="1" customWidth="1"/>
    <col min="5130" max="5130" width="9.28515625" bestFit="1" customWidth="1"/>
    <col min="5131" max="5131" width="9.28515625" customWidth="1"/>
    <col min="5132" max="5132" width="7.28515625" customWidth="1"/>
    <col min="5133" max="5133" width="11" customWidth="1"/>
    <col min="5134" max="5134" width="0" hidden="1" customWidth="1"/>
    <col min="5135" max="5135" width="7.28515625" customWidth="1"/>
    <col min="5136" max="5136" width="8.7109375" customWidth="1"/>
    <col min="5137" max="5137" width="10.85546875" customWidth="1"/>
    <col min="5138" max="5138" width="0" hidden="1" customWidth="1"/>
    <col min="5139" max="5139" width="11.7109375" customWidth="1"/>
    <col min="5141" max="5144" width="0" hidden="1" customWidth="1"/>
    <col min="5378" max="5378" width="6.28515625" customWidth="1"/>
    <col min="5379" max="5379" width="26.42578125" customWidth="1"/>
    <col min="5383" max="5383" width="7" customWidth="1"/>
    <col min="5384" max="5384" width="10.42578125" customWidth="1"/>
    <col min="5385" max="5385" width="6.42578125" bestFit="1" customWidth="1"/>
    <col min="5386" max="5386" width="9.28515625" bestFit="1" customWidth="1"/>
    <col min="5387" max="5387" width="9.28515625" customWidth="1"/>
    <col min="5388" max="5388" width="7.28515625" customWidth="1"/>
    <col min="5389" max="5389" width="11" customWidth="1"/>
    <col min="5390" max="5390" width="0" hidden="1" customWidth="1"/>
    <col min="5391" max="5391" width="7.28515625" customWidth="1"/>
    <col min="5392" max="5392" width="8.7109375" customWidth="1"/>
    <col min="5393" max="5393" width="10.85546875" customWidth="1"/>
    <col min="5394" max="5394" width="0" hidden="1" customWidth="1"/>
    <col min="5395" max="5395" width="11.7109375" customWidth="1"/>
    <col min="5397" max="5400" width="0" hidden="1" customWidth="1"/>
    <col min="5634" max="5634" width="6.28515625" customWidth="1"/>
    <col min="5635" max="5635" width="26.42578125" customWidth="1"/>
    <col min="5639" max="5639" width="7" customWidth="1"/>
    <col min="5640" max="5640" width="10.42578125" customWidth="1"/>
    <col min="5641" max="5641" width="6.42578125" bestFit="1" customWidth="1"/>
    <col min="5642" max="5642" width="9.28515625" bestFit="1" customWidth="1"/>
    <col min="5643" max="5643" width="9.28515625" customWidth="1"/>
    <col min="5644" max="5644" width="7.28515625" customWidth="1"/>
    <col min="5645" max="5645" width="11" customWidth="1"/>
    <col min="5646" max="5646" width="0" hidden="1" customWidth="1"/>
    <col min="5647" max="5647" width="7.28515625" customWidth="1"/>
    <col min="5648" max="5648" width="8.7109375" customWidth="1"/>
    <col min="5649" max="5649" width="10.85546875" customWidth="1"/>
    <col min="5650" max="5650" width="0" hidden="1" customWidth="1"/>
    <col min="5651" max="5651" width="11.7109375" customWidth="1"/>
    <col min="5653" max="5656" width="0" hidden="1" customWidth="1"/>
    <col min="5890" max="5890" width="6.28515625" customWidth="1"/>
    <col min="5891" max="5891" width="26.42578125" customWidth="1"/>
    <col min="5895" max="5895" width="7" customWidth="1"/>
    <col min="5896" max="5896" width="10.42578125" customWidth="1"/>
    <col min="5897" max="5897" width="6.42578125" bestFit="1" customWidth="1"/>
    <col min="5898" max="5898" width="9.28515625" bestFit="1" customWidth="1"/>
    <col min="5899" max="5899" width="9.28515625" customWidth="1"/>
    <col min="5900" max="5900" width="7.28515625" customWidth="1"/>
    <col min="5901" max="5901" width="11" customWidth="1"/>
    <col min="5902" max="5902" width="0" hidden="1" customWidth="1"/>
    <col min="5903" max="5903" width="7.28515625" customWidth="1"/>
    <col min="5904" max="5904" width="8.7109375" customWidth="1"/>
    <col min="5905" max="5905" width="10.85546875" customWidth="1"/>
    <col min="5906" max="5906" width="0" hidden="1" customWidth="1"/>
    <col min="5907" max="5907" width="11.7109375" customWidth="1"/>
    <col min="5909" max="5912" width="0" hidden="1" customWidth="1"/>
    <col min="6146" max="6146" width="6.28515625" customWidth="1"/>
    <col min="6147" max="6147" width="26.42578125" customWidth="1"/>
    <col min="6151" max="6151" width="7" customWidth="1"/>
    <col min="6152" max="6152" width="10.42578125" customWidth="1"/>
    <col min="6153" max="6153" width="6.42578125" bestFit="1" customWidth="1"/>
    <col min="6154" max="6154" width="9.28515625" bestFit="1" customWidth="1"/>
    <col min="6155" max="6155" width="9.28515625" customWidth="1"/>
    <col min="6156" max="6156" width="7.28515625" customWidth="1"/>
    <col min="6157" max="6157" width="11" customWidth="1"/>
    <col min="6158" max="6158" width="0" hidden="1" customWidth="1"/>
    <col min="6159" max="6159" width="7.28515625" customWidth="1"/>
    <col min="6160" max="6160" width="8.7109375" customWidth="1"/>
    <col min="6161" max="6161" width="10.85546875" customWidth="1"/>
    <col min="6162" max="6162" width="0" hidden="1" customWidth="1"/>
    <col min="6163" max="6163" width="11.7109375" customWidth="1"/>
    <col min="6165" max="6168" width="0" hidden="1" customWidth="1"/>
    <col min="6402" max="6402" width="6.28515625" customWidth="1"/>
    <col min="6403" max="6403" width="26.42578125" customWidth="1"/>
    <col min="6407" max="6407" width="7" customWidth="1"/>
    <col min="6408" max="6408" width="10.42578125" customWidth="1"/>
    <col min="6409" max="6409" width="6.42578125" bestFit="1" customWidth="1"/>
    <col min="6410" max="6410" width="9.28515625" bestFit="1" customWidth="1"/>
    <col min="6411" max="6411" width="9.28515625" customWidth="1"/>
    <col min="6412" max="6412" width="7.28515625" customWidth="1"/>
    <col min="6413" max="6413" width="11" customWidth="1"/>
    <col min="6414" max="6414" width="0" hidden="1" customWidth="1"/>
    <col min="6415" max="6415" width="7.28515625" customWidth="1"/>
    <col min="6416" max="6416" width="8.7109375" customWidth="1"/>
    <col min="6417" max="6417" width="10.85546875" customWidth="1"/>
    <col min="6418" max="6418" width="0" hidden="1" customWidth="1"/>
    <col min="6419" max="6419" width="11.7109375" customWidth="1"/>
    <col min="6421" max="6424" width="0" hidden="1" customWidth="1"/>
    <col min="6658" max="6658" width="6.28515625" customWidth="1"/>
    <col min="6659" max="6659" width="26.42578125" customWidth="1"/>
    <col min="6663" max="6663" width="7" customWidth="1"/>
    <col min="6664" max="6664" width="10.42578125" customWidth="1"/>
    <col min="6665" max="6665" width="6.42578125" bestFit="1" customWidth="1"/>
    <col min="6666" max="6666" width="9.28515625" bestFit="1" customWidth="1"/>
    <col min="6667" max="6667" width="9.28515625" customWidth="1"/>
    <col min="6668" max="6668" width="7.28515625" customWidth="1"/>
    <col min="6669" max="6669" width="11" customWidth="1"/>
    <col min="6670" max="6670" width="0" hidden="1" customWidth="1"/>
    <col min="6671" max="6671" width="7.28515625" customWidth="1"/>
    <col min="6672" max="6672" width="8.7109375" customWidth="1"/>
    <col min="6673" max="6673" width="10.85546875" customWidth="1"/>
    <col min="6674" max="6674" width="0" hidden="1" customWidth="1"/>
    <col min="6675" max="6675" width="11.7109375" customWidth="1"/>
    <col min="6677" max="6680" width="0" hidden="1" customWidth="1"/>
    <col min="6914" max="6914" width="6.28515625" customWidth="1"/>
    <col min="6915" max="6915" width="26.42578125" customWidth="1"/>
    <col min="6919" max="6919" width="7" customWidth="1"/>
    <col min="6920" max="6920" width="10.42578125" customWidth="1"/>
    <col min="6921" max="6921" width="6.42578125" bestFit="1" customWidth="1"/>
    <col min="6922" max="6922" width="9.28515625" bestFit="1" customWidth="1"/>
    <col min="6923" max="6923" width="9.28515625" customWidth="1"/>
    <col min="6924" max="6924" width="7.28515625" customWidth="1"/>
    <col min="6925" max="6925" width="11" customWidth="1"/>
    <col min="6926" max="6926" width="0" hidden="1" customWidth="1"/>
    <col min="6927" max="6927" width="7.28515625" customWidth="1"/>
    <col min="6928" max="6928" width="8.7109375" customWidth="1"/>
    <col min="6929" max="6929" width="10.85546875" customWidth="1"/>
    <col min="6930" max="6930" width="0" hidden="1" customWidth="1"/>
    <col min="6931" max="6931" width="11.7109375" customWidth="1"/>
    <col min="6933" max="6936" width="0" hidden="1" customWidth="1"/>
    <col min="7170" max="7170" width="6.28515625" customWidth="1"/>
    <col min="7171" max="7171" width="26.42578125" customWidth="1"/>
    <col min="7175" max="7175" width="7" customWidth="1"/>
    <col min="7176" max="7176" width="10.42578125" customWidth="1"/>
    <col min="7177" max="7177" width="6.42578125" bestFit="1" customWidth="1"/>
    <col min="7178" max="7178" width="9.28515625" bestFit="1" customWidth="1"/>
    <col min="7179" max="7179" width="9.28515625" customWidth="1"/>
    <col min="7180" max="7180" width="7.28515625" customWidth="1"/>
    <col min="7181" max="7181" width="11" customWidth="1"/>
    <col min="7182" max="7182" width="0" hidden="1" customWidth="1"/>
    <col min="7183" max="7183" width="7.28515625" customWidth="1"/>
    <col min="7184" max="7184" width="8.7109375" customWidth="1"/>
    <col min="7185" max="7185" width="10.85546875" customWidth="1"/>
    <col min="7186" max="7186" width="0" hidden="1" customWidth="1"/>
    <col min="7187" max="7187" width="11.7109375" customWidth="1"/>
    <col min="7189" max="7192" width="0" hidden="1" customWidth="1"/>
    <col min="7426" max="7426" width="6.28515625" customWidth="1"/>
    <col min="7427" max="7427" width="26.42578125" customWidth="1"/>
    <col min="7431" max="7431" width="7" customWidth="1"/>
    <col min="7432" max="7432" width="10.42578125" customWidth="1"/>
    <col min="7433" max="7433" width="6.42578125" bestFit="1" customWidth="1"/>
    <col min="7434" max="7434" width="9.28515625" bestFit="1" customWidth="1"/>
    <col min="7435" max="7435" width="9.28515625" customWidth="1"/>
    <col min="7436" max="7436" width="7.28515625" customWidth="1"/>
    <col min="7437" max="7437" width="11" customWidth="1"/>
    <col min="7438" max="7438" width="0" hidden="1" customWidth="1"/>
    <col min="7439" max="7439" width="7.28515625" customWidth="1"/>
    <col min="7440" max="7440" width="8.7109375" customWidth="1"/>
    <col min="7441" max="7441" width="10.85546875" customWidth="1"/>
    <col min="7442" max="7442" width="0" hidden="1" customWidth="1"/>
    <col min="7443" max="7443" width="11.7109375" customWidth="1"/>
    <col min="7445" max="7448" width="0" hidden="1" customWidth="1"/>
    <col min="7682" max="7682" width="6.28515625" customWidth="1"/>
    <col min="7683" max="7683" width="26.42578125" customWidth="1"/>
    <col min="7687" max="7687" width="7" customWidth="1"/>
    <col min="7688" max="7688" width="10.42578125" customWidth="1"/>
    <col min="7689" max="7689" width="6.42578125" bestFit="1" customWidth="1"/>
    <col min="7690" max="7690" width="9.28515625" bestFit="1" customWidth="1"/>
    <col min="7691" max="7691" width="9.28515625" customWidth="1"/>
    <col min="7692" max="7692" width="7.28515625" customWidth="1"/>
    <col min="7693" max="7693" width="11" customWidth="1"/>
    <col min="7694" max="7694" width="0" hidden="1" customWidth="1"/>
    <col min="7695" max="7695" width="7.28515625" customWidth="1"/>
    <col min="7696" max="7696" width="8.7109375" customWidth="1"/>
    <col min="7697" max="7697" width="10.85546875" customWidth="1"/>
    <col min="7698" max="7698" width="0" hidden="1" customWidth="1"/>
    <col min="7699" max="7699" width="11.7109375" customWidth="1"/>
    <col min="7701" max="7704" width="0" hidden="1" customWidth="1"/>
    <col min="7938" max="7938" width="6.28515625" customWidth="1"/>
    <col min="7939" max="7939" width="26.42578125" customWidth="1"/>
    <col min="7943" max="7943" width="7" customWidth="1"/>
    <col min="7944" max="7944" width="10.42578125" customWidth="1"/>
    <col min="7945" max="7945" width="6.42578125" bestFit="1" customWidth="1"/>
    <col min="7946" max="7946" width="9.28515625" bestFit="1" customWidth="1"/>
    <col min="7947" max="7947" width="9.28515625" customWidth="1"/>
    <col min="7948" max="7948" width="7.28515625" customWidth="1"/>
    <col min="7949" max="7949" width="11" customWidth="1"/>
    <col min="7950" max="7950" width="0" hidden="1" customWidth="1"/>
    <col min="7951" max="7951" width="7.28515625" customWidth="1"/>
    <col min="7952" max="7952" width="8.7109375" customWidth="1"/>
    <col min="7953" max="7953" width="10.85546875" customWidth="1"/>
    <col min="7954" max="7954" width="0" hidden="1" customWidth="1"/>
    <col min="7955" max="7955" width="11.7109375" customWidth="1"/>
    <col min="7957" max="7960" width="0" hidden="1" customWidth="1"/>
    <col min="8194" max="8194" width="6.28515625" customWidth="1"/>
    <col min="8195" max="8195" width="26.42578125" customWidth="1"/>
    <col min="8199" max="8199" width="7" customWidth="1"/>
    <col min="8200" max="8200" width="10.42578125" customWidth="1"/>
    <col min="8201" max="8201" width="6.42578125" bestFit="1" customWidth="1"/>
    <col min="8202" max="8202" width="9.28515625" bestFit="1" customWidth="1"/>
    <col min="8203" max="8203" width="9.28515625" customWidth="1"/>
    <col min="8204" max="8204" width="7.28515625" customWidth="1"/>
    <col min="8205" max="8205" width="11" customWidth="1"/>
    <col min="8206" max="8206" width="0" hidden="1" customWidth="1"/>
    <col min="8207" max="8207" width="7.28515625" customWidth="1"/>
    <col min="8208" max="8208" width="8.7109375" customWidth="1"/>
    <col min="8209" max="8209" width="10.85546875" customWidth="1"/>
    <col min="8210" max="8210" width="0" hidden="1" customWidth="1"/>
    <col min="8211" max="8211" width="11.7109375" customWidth="1"/>
    <col min="8213" max="8216" width="0" hidden="1" customWidth="1"/>
    <col min="8450" max="8450" width="6.28515625" customWidth="1"/>
    <col min="8451" max="8451" width="26.42578125" customWidth="1"/>
    <col min="8455" max="8455" width="7" customWidth="1"/>
    <col min="8456" max="8456" width="10.42578125" customWidth="1"/>
    <col min="8457" max="8457" width="6.42578125" bestFit="1" customWidth="1"/>
    <col min="8458" max="8458" width="9.28515625" bestFit="1" customWidth="1"/>
    <col min="8459" max="8459" width="9.28515625" customWidth="1"/>
    <col min="8460" max="8460" width="7.28515625" customWidth="1"/>
    <col min="8461" max="8461" width="11" customWidth="1"/>
    <col min="8462" max="8462" width="0" hidden="1" customWidth="1"/>
    <col min="8463" max="8463" width="7.28515625" customWidth="1"/>
    <col min="8464" max="8464" width="8.7109375" customWidth="1"/>
    <col min="8465" max="8465" width="10.85546875" customWidth="1"/>
    <col min="8466" max="8466" width="0" hidden="1" customWidth="1"/>
    <col min="8467" max="8467" width="11.7109375" customWidth="1"/>
    <col min="8469" max="8472" width="0" hidden="1" customWidth="1"/>
    <col min="8706" max="8706" width="6.28515625" customWidth="1"/>
    <col min="8707" max="8707" width="26.42578125" customWidth="1"/>
    <col min="8711" max="8711" width="7" customWidth="1"/>
    <col min="8712" max="8712" width="10.42578125" customWidth="1"/>
    <col min="8713" max="8713" width="6.42578125" bestFit="1" customWidth="1"/>
    <col min="8714" max="8714" width="9.28515625" bestFit="1" customWidth="1"/>
    <col min="8715" max="8715" width="9.28515625" customWidth="1"/>
    <col min="8716" max="8716" width="7.28515625" customWidth="1"/>
    <col min="8717" max="8717" width="11" customWidth="1"/>
    <col min="8718" max="8718" width="0" hidden="1" customWidth="1"/>
    <col min="8719" max="8719" width="7.28515625" customWidth="1"/>
    <col min="8720" max="8720" width="8.7109375" customWidth="1"/>
    <col min="8721" max="8721" width="10.85546875" customWidth="1"/>
    <col min="8722" max="8722" width="0" hidden="1" customWidth="1"/>
    <col min="8723" max="8723" width="11.7109375" customWidth="1"/>
    <col min="8725" max="8728" width="0" hidden="1" customWidth="1"/>
    <col min="8962" max="8962" width="6.28515625" customWidth="1"/>
    <col min="8963" max="8963" width="26.42578125" customWidth="1"/>
    <col min="8967" max="8967" width="7" customWidth="1"/>
    <col min="8968" max="8968" width="10.42578125" customWidth="1"/>
    <col min="8969" max="8969" width="6.42578125" bestFit="1" customWidth="1"/>
    <col min="8970" max="8970" width="9.28515625" bestFit="1" customWidth="1"/>
    <col min="8971" max="8971" width="9.28515625" customWidth="1"/>
    <col min="8972" max="8972" width="7.28515625" customWidth="1"/>
    <col min="8973" max="8973" width="11" customWidth="1"/>
    <col min="8974" max="8974" width="0" hidden="1" customWidth="1"/>
    <col min="8975" max="8975" width="7.28515625" customWidth="1"/>
    <col min="8976" max="8976" width="8.7109375" customWidth="1"/>
    <col min="8977" max="8977" width="10.85546875" customWidth="1"/>
    <col min="8978" max="8978" width="0" hidden="1" customWidth="1"/>
    <col min="8979" max="8979" width="11.7109375" customWidth="1"/>
    <col min="8981" max="8984" width="0" hidden="1" customWidth="1"/>
    <col min="9218" max="9218" width="6.28515625" customWidth="1"/>
    <col min="9219" max="9219" width="26.42578125" customWidth="1"/>
    <col min="9223" max="9223" width="7" customWidth="1"/>
    <col min="9224" max="9224" width="10.42578125" customWidth="1"/>
    <col min="9225" max="9225" width="6.42578125" bestFit="1" customWidth="1"/>
    <col min="9226" max="9226" width="9.28515625" bestFit="1" customWidth="1"/>
    <col min="9227" max="9227" width="9.28515625" customWidth="1"/>
    <col min="9228" max="9228" width="7.28515625" customWidth="1"/>
    <col min="9229" max="9229" width="11" customWidth="1"/>
    <col min="9230" max="9230" width="0" hidden="1" customWidth="1"/>
    <col min="9231" max="9231" width="7.28515625" customWidth="1"/>
    <col min="9232" max="9232" width="8.7109375" customWidth="1"/>
    <col min="9233" max="9233" width="10.85546875" customWidth="1"/>
    <col min="9234" max="9234" width="0" hidden="1" customWidth="1"/>
    <col min="9235" max="9235" width="11.7109375" customWidth="1"/>
    <col min="9237" max="9240" width="0" hidden="1" customWidth="1"/>
    <col min="9474" max="9474" width="6.28515625" customWidth="1"/>
    <col min="9475" max="9475" width="26.42578125" customWidth="1"/>
    <col min="9479" max="9479" width="7" customWidth="1"/>
    <col min="9480" max="9480" width="10.42578125" customWidth="1"/>
    <col min="9481" max="9481" width="6.42578125" bestFit="1" customWidth="1"/>
    <col min="9482" max="9482" width="9.28515625" bestFit="1" customWidth="1"/>
    <col min="9483" max="9483" width="9.28515625" customWidth="1"/>
    <col min="9484" max="9484" width="7.28515625" customWidth="1"/>
    <col min="9485" max="9485" width="11" customWidth="1"/>
    <col min="9486" max="9486" width="0" hidden="1" customWidth="1"/>
    <col min="9487" max="9487" width="7.28515625" customWidth="1"/>
    <col min="9488" max="9488" width="8.7109375" customWidth="1"/>
    <col min="9489" max="9489" width="10.85546875" customWidth="1"/>
    <col min="9490" max="9490" width="0" hidden="1" customWidth="1"/>
    <col min="9491" max="9491" width="11.7109375" customWidth="1"/>
    <col min="9493" max="9496" width="0" hidden="1" customWidth="1"/>
    <col min="9730" max="9730" width="6.28515625" customWidth="1"/>
    <col min="9731" max="9731" width="26.42578125" customWidth="1"/>
    <col min="9735" max="9735" width="7" customWidth="1"/>
    <col min="9736" max="9736" width="10.42578125" customWidth="1"/>
    <col min="9737" max="9737" width="6.42578125" bestFit="1" customWidth="1"/>
    <col min="9738" max="9738" width="9.28515625" bestFit="1" customWidth="1"/>
    <col min="9739" max="9739" width="9.28515625" customWidth="1"/>
    <col min="9740" max="9740" width="7.28515625" customWidth="1"/>
    <col min="9741" max="9741" width="11" customWidth="1"/>
    <col min="9742" max="9742" width="0" hidden="1" customWidth="1"/>
    <col min="9743" max="9743" width="7.28515625" customWidth="1"/>
    <col min="9744" max="9744" width="8.7109375" customWidth="1"/>
    <col min="9745" max="9745" width="10.85546875" customWidth="1"/>
    <col min="9746" max="9746" width="0" hidden="1" customWidth="1"/>
    <col min="9747" max="9747" width="11.7109375" customWidth="1"/>
    <col min="9749" max="9752" width="0" hidden="1" customWidth="1"/>
    <col min="9986" max="9986" width="6.28515625" customWidth="1"/>
    <col min="9987" max="9987" width="26.42578125" customWidth="1"/>
    <col min="9991" max="9991" width="7" customWidth="1"/>
    <col min="9992" max="9992" width="10.42578125" customWidth="1"/>
    <col min="9993" max="9993" width="6.42578125" bestFit="1" customWidth="1"/>
    <col min="9994" max="9994" width="9.28515625" bestFit="1" customWidth="1"/>
    <col min="9995" max="9995" width="9.28515625" customWidth="1"/>
    <col min="9996" max="9996" width="7.28515625" customWidth="1"/>
    <col min="9997" max="9997" width="11" customWidth="1"/>
    <col min="9998" max="9998" width="0" hidden="1" customWidth="1"/>
    <col min="9999" max="9999" width="7.28515625" customWidth="1"/>
    <col min="10000" max="10000" width="8.7109375" customWidth="1"/>
    <col min="10001" max="10001" width="10.85546875" customWidth="1"/>
    <col min="10002" max="10002" width="0" hidden="1" customWidth="1"/>
    <col min="10003" max="10003" width="11.7109375" customWidth="1"/>
    <col min="10005" max="10008" width="0" hidden="1" customWidth="1"/>
    <col min="10242" max="10242" width="6.28515625" customWidth="1"/>
    <col min="10243" max="10243" width="26.42578125" customWidth="1"/>
    <col min="10247" max="10247" width="7" customWidth="1"/>
    <col min="10248" max="10248" width="10.42578125" customWidth="1"/>
    <col min="10249" max="10249" width="6.42578125" bestFit="1" customWidth="1"/>
    <col min="10250" max="10250" width="9.28515625" bestFit="1" customWidth="1"/>
    <col min="10251" max="10251" width="9.28515625" customWidth="1"/>
    <col min="10252" max="10252" width="7.28515625" customWidth="1"/>
    <col min="10253" max="10253" width="11" customWidth="1"/>
    <col min="10254" max="10254" width="0" hidden="1" customWidth="1"/>
    <col min="10255" max="10255" width="7.28515625" customWidth="1"/>
    <col min="10256" max="10256" width="8.7109375" customWidth="1"/>
    <col min="10257" max="10257" width="10.85546875" customWidth="1"/>
    <col min="10258" max="10258" width="0" hidden="1" customWidth="1"/>
    <col min="10259" max="10259" width="11.7109375" customWidth="1"/>
    <col min="10261" max="10264" width="0" hidden="1" customWidth="1"/>
    <col min="10498" max="10498" width="6.28515625" customWidth="1"/>
    <col min="10499" max="10499" width="26.42578125" customWidth="1"/>
    <col min="10503" max="10503" width="7" customWidth="1"/>
    <col min="10504" max="10504" width="10.42578125" customWidth="1"/>
    <col min="10505" max="10505" width="6.42578125" bestFit="1" customWidth="1"/>
    <col min="10506" max="10506" width="9.28515625" bestFit="1" customWidth="1"/>
    <col min="10507" max="10507" width="9.28515625" customWidth="1"/>
    <col min="10508" max="10508" width="7.28515625" customWidth="1"/>
    <col min="10509" max="10509" width="11" customWidth="1"/>
    <col min="10510" max="10510" width="0" hidden="1" customWidth="1"/>
    <col min="10511" max="10511" width="7.28515625" customWidth="1"/>
    <col min="10512" max="10512" width="8.7109375" customWidth="1"/>
    <col min="10513" max="10513" width="10.85546875" customWidth="1"/>
    <col min="10514" max="10514" width="0" hidden="1" customWidth="1"/>
    <col min="10515" max="10515" width="11.7109375" customWidth="1"/>
    <col min="10517" max="10520" width="0" hidden="1" customWidth="1"/>
    <col min="10754" max="10754" width="6.28515625" customWidth="1"/>
    <col min="10755" max="10755" width="26.42578125" customWidth="1"/>
    <col min="10759" max="10759" width="7" customWidth="1"/>
    <col min="10760" max="10760" width="10.42578125" customWidth="1"/>
    <col min="10761" max="10761" width="6.42578125" bestFit="1" customWidth="1"/>
    <col min="10762" max="10762" width="9.28515625" bestFit="1" customWidth="1"/>
    <col min="10763" max="10763" width="9.28515625" customWidth="1"/>
    <col min="10764" max="10764" width="7.28515625" customWidth="1"/>
    <col min="10765" max="10765" width="11" customWidth="1"/>
    <col min="10766" max="10766" width="0" hidden="1" customWidth="1"/>
    <col min="10767" max="10767" width="7.28515625" customWidth="1"/>
    <col min="10768" max="10768" width="8.7109375" customWidth="1"/>
    <col min="10769" max="10769" width="10.85546875" customWidth="1"/>
    <col min="10770" max="10770" width="0" hidden="1" customWidth="1"/>
    <col min="10771" max="10771" width="11.7109375" customWidth="1"/>
    <col min="10773" max="10776" width="0" hidden="1" customWidth="1"/>
    <col min="11010" max="11010" width="6.28515625" customWidth="1"/>
    <col min="11011" max="11011" width="26.42578125" customWidth="1"/>
    <col min="11015" max="11015" width="7" customWidth="1"/>
    <col min="11016" max="11016" width="10.42578125" customWidth="1"/>
    <col min="11017" max="11017" width="6.42578125" bestFit="1" customWidth="1"/>
    <col min="11018" max="11018" width="9.28515625" bestFit="1" customWidth="1"/>
    <col min="11019" max="11019" width="9.28515625" customWidth="1"/>
    <col min="11020" max="11020" width="7.28515625" customWidth="1"/>
    <col min="11021" max="11021" width="11" customWidth="1"/>
    <col min="11022" max="11022" width="0" hidden="1" customWidth="1"/>
    <col min="11023" max="11023" width="7.28515625" customWidth="1"/>
    <col min="11024" max="11024" width="8.7109375" customWidth="1"/>
    <col min="11025" max="11025" width="10.85546875" customWidth="1"/>
    <col min="11026" max="11026" width="0" hidden="1" customWidth="1"/>
    <col min="11027" max="11027" width="11.7109375" customWidth="1"/>
    <col min="11029" max="11032" width="0" hidden="1" customWidth="1"/>
    <col min="11266" max="11266" width="6.28515625" customWidth="1"/>
    <col min="11267" max="11267" width="26.42578125" customWidth="1"/>
    <col min="11271" max="11271" width="7" customWidth="1"/>
    <col min="11272" max="11272" width="10.42578125" customWidth="1"/>
    <col min="11273" max="11273" width="6.42578125" bestFit="1" customWidth="1"/>
    <col min="11274" max="11274" width="9.28515625" bestFit="1" customWidth="1"/>
    <col min="11275" max="11275" width="9.28515625" customWidth="1"/>
    <col min="11276" max="11276" width="7.28515625" customWidth="1"/>
    <col min="11277" max="11277" width="11" customWidth="1"/>
    <col min="11278" max="11278" width="0" hidden="1" customWidth="1"/>
    <col min="11279" max="11279" width="7.28515625" customWidth="1"/>
    <col min="11280" max="11280" width="8.7109375" customWidth="1"/>
    <col min="11281" max="11281" width="10.85546875" customWidth="1"/>
    <col min="11282" max="11282" width="0" hidden="1" customWidth="1"/>
    <col min="11283" max="11283" width="11.7109375" customWidth="1"/>
    <col min="11285" max="11288" width="0" hidden="1" customWidth="1"/>
    <col min="11522" max="11522" width="6.28515625" customWidth="1"/>
    <col min="11523" max="11523" width="26.42578125" customWidth="1"/>
    <col min="11527" max="11527" width="7" customWidth="1"/>
    <col min="11528" max="11528" width="10.42578125" customWidth="1"/>
    <col min="11529" max="11529" width="6.42578125" bestFit="1" customWidth="1"/>
    <col min="11530" max="11530" width="9.28515625" bestFit="1" customWidth="1"/>
    <col min="11531" max="11531" width="9.28515625" customWidth="1"/>
    <col min="11532" max="11532" width="7.28515625" customWidth="1"/>
    <col min="11533" max="11533" width="11" customWidth="1"/>
    <col min="11534" max="11534" width="0" hidden="1" customWidth="1"/>
    <col min="11535" max="11535" width="7.28515625" customWidth="1"/>
    <col min="11536" max="11536" width="8.7109375" customWidth="1"/>
    <col min="11537" max="11537" width="10.85546875" customWidth="1"/>
    <col min="11538" max="11538" width="0" hidden="1" customWidth="1"/>
    <col min="11539" max="11539" width="11.7109375" customWidth="1"/>
    <col min="11541" max="11544" width="0" hidden="1" customWidth="1"/>
    <col min="11778" max="11778" width="6.28515625" customWidth="1"/>
    <col min="11779" max="11779" width="26.42578125" customWidth="1"/>
    <col min="11783" max="11783" width="7" customWidth="1"/>
    <col min="11784" max="11784" width="10.42578125" customWidth="1"/>
    <col min="11785" max="11785" width="6.42578125" bestFit="1" customWidth="1"/>
    <col min="11786" max="11786" width="9.28515625" bestFit="1" customWidth="1"/>
    <col min="11787" max="11787" width="9.28515625" customWidth="1"/>
    <col min="11788" max="11788" width="7.28515625" customWidth="1"/>
    <col min="11789" max="11789" width="11" customWidth="1"/>
    <col min="11790" max="11790" width="0" hidden="1" customWidth="1"/>
    <col min="11791" max="11791" width="7.28515625" customWidth="1"/>
    <col min="11792" max="11792" width="8.7109375" customWidth="1"/>
    <col min="11793" max="11793" width="10.85546875" customWidth="1"/>
    <col min="11794" max="11794" width="0" hidden="1" customWidth="1"/>
    <col min="11795" max="11795" width="11.7109375" customWidth="1"/>
    <col min="11797" max="11800" width="0" hidden="1" customWidth="1"/>
    <col min="12034" max="12034" width="6.28515625" customWidth="1"/>
    <col min="12035" max="12035" width="26.42578125" customWidth="1"/>
    <col min="12039" max="12039" width="7" customWidth="1"/>
    <col min="12040" max="12040" width="10.42578125" customWidth="1"/>
    <col min="12041" max="12041" width="6.42578125" bestFit="1" customWidth="1"/>
    <col min="12042" max="12042" width="9.28515625" bestFit="1" customWidth="1"/>
    <col min="12043" max="12043" width="9.28515625" customWidth="1"/>
    <col min="12044" max="12044" width="7.28515625" customWidth="1"/>
    <col min="12045" max="12045" width="11" customWidth="1"/>
    <col min="12046" max="12046" width="0" hidden="1" customWidth="1"/>
    <col min="12047" max="12047" width="7.28515625" customWidth="1"/>
    <col min="12048" max="12048" width="8.7109375" customWidth="1"/>
    <col min="12049" max="12049" width="10.85546875" customWidth="1"/>
    <col min="12050" max="12050" width="0" hidden="1" customWidth="1"/>
    <col min="12051" max="12051" width="11.7109375" customWidth="1"/>
    <col min="12053" max="12056" width="0" hidden="1" customWidth="1"/>
    <col min="12290" max="12290" width="6.28515625" customWidth="1"/>
    <col min="12291" max="12291" width="26.42578125" customWidth="1"/>
    <col min="12295" max="12295" width="7" customWidth="1"/>
    <col min="12296" max="12296" width="10.42578125" customWidth="1"/>
    <col min="12297" max="12297" width="6.42578125" bestFit="1" customWidth="1"/>
    <col min="12298" max="12298" width="9.28515625" bestFit="1" customWidth="1"/>
    <col min="12299" max="12299" width="9.28515625" customWidth="1"/>
    <col min="12300" max="12300" width="7.28515625" customWidth="1"/>
    <col min="12301" max="12301" width="11" customWidth="1"/>
    <col min="12302" max="12302" width="0" hidden="1" customWidth="1"/>
    <col min="12303" max="12303" width="7.28515625" customWidth="1"/>
    <col min="12304" max="12304" width="8.7109375" customWidth="1"/>
    <col min="12305" max="12305" width="10.85546875" customWidth="1"/>
    <col min="12306" max="12306" width="0" hidden="1" customWidth="1"/>
    <col min="12307" max="12307" width="11.7109375" customWidth="1"/>
    <col min="12309" max="12312" width="0" hidden="1" customWidth="1"/>
    <col min="12546" max="12546" width="6.28515625" customWidth="1"/>
    <col min="12547" max="12547" width="26.42578125" customWidth="1"/>
    <col min="12551" max="12551" width="7" customWidth="1"/>
    <col min="12552" max="12552" width="10.42578125" customWidth="1"/>
    <col min="12553" max="12553" width="6.42578125" bestFit="1" customWidth="1"/>
    <col min="12554" max="12554" width="9.28515625" bestFit="1" customWidth="1"/>
    <col min="12555" max="12555" width="9.28515625" customWidth="1"/>
    <col min="12556" max="12556" width="7.28515625" customWidth="1"/>
    <col min="12557" max="12557" width="11" customWidth="1"/>
    <col min="12558" max="12558" width="0" hidden="1" customWidth="1"/>
    <col min="12559" max="12559" width="7.28515625" customWidth="1"/>
    <col min="12560" max="12560" width="8.7109375" customWidth="1"/>
    <col min="12561" max="12561" width="10.85546875" customWidth="1"/>
    <col min="12562" max="12562" width="0" hidden="1" customWidth="1"/>
    <col min="12563" max="12563" width="11.7109375" customWidth="1"/>
    <col min="12565" max="12568" width="0" hidden="1" customWidth="1"/>
    <col min="12802" max="12802" width="6.28515625" customWidth="1"/>
    <col min="12803" max="12803" width="26.42578125" customWidth="1"/>
    <col min="12807" max="12807" width="7" customWidth="1"/>
    <col min="12808" max="12808" width="10.42578125" customWidth="1"/>
    <col min="12809" max="12809" width="6.42578125" bestFit="1" customWidth="1"/>
    <col min="12810" max="12810" width="9.28515625" bestFit="1" customWidth="1"/>
    <col min="12811" max="12811" width="9.28515625" customWidth="1"/>
    <col min="12812" max="12812" width="7.28515625" customWidth="1"/>
    <col min="12813" max="12813" width="11" customWidth="1"/>
    <col min="12814" max="12814" width="0" hidden="1" customWidth="1"/>
    <col min="12815" max="12815" width="7.28515625" customWidth="1"/>
    <col min="12816" max="12816" width="8.7109375" customWidth="1"/>
    <col min="12817" max="12817" width="10.85546875" customWidth="1"/>
    <col min="12818" max="12818" width="0" hidden="1" customWidth="1"/>
    <col min="12819" max="12819" width="11.7109375" customWidth="1"/>
    <col min="12821" max="12824" width="0" hidden="1" customWidth="1"/>
    <col min="13058" max="13058" width="6.28515625" customWidth="1"/>
    <col min="13059" max="13059" width="26.42578125" customWidth="1"/>
    <col min="13063" max="13063" width="7" customWidth="1"/>
    <col min="13064" max="13064" width="10.42578125" customWidth="1"/>
    <col min="13065" max="13065" width="6.42578125" bestFit="1" customWidth="1"/>
    <col min="13066" max="13066" width="9.28515625" bestFit="1" customWidth="1"/>
    <col min="13067" max="13067" width="9.28515625" customWidth="1"/>
    <col min="13068" max="13068" width="7.28515625" customWidth="1"/>
    <col min="13069" max="13069" width="11" customWidth="1"/>
    <col min="13070" max="13070" width="0" hidden="1" customWidth="1"/>
    <col min="13071" max="13071" width="7.28515625" customWidth="1"/>
    <col min="13072" max="13072" width="8.7109375" customWidth="1"/>
    <col min="13073" max="13073" width="10.85546875" customWidth="1"/>
    <col min="13074" max="13074" width="0" hidden="1" customWidth="1"/>
    <col min="13075" max="13075" width="11.7109375" customWidth="1"/>
    <col min="13077" max="13080" width="0" hidden="1" customWidth="1"/>
    <col min="13314" max="13314" width="6.28515625" customWidth="1"/>
    <col min="13315" max="13315" width="26.42578125" customWidth="1"/>
    <col min="13319" max="13319" width="7" customWidth="1"/>
    <col min="13320" max="13320" width="10.42578125" customWidth="1"/>
    <col min="13321" max="13321" width="6.42578125" bestFit="1" customWidth="1"/>
    <col min="13322" max="13322" width="9.28515625" bestFit="1" customWidth="1"/>
    <col min="13323" max="13323" width="9.28515625" customWidth="1"/>
    <col min="13324" max="13324" width="7.28515625" customWidth="1"/>
    <col min="13325" max="13325" width="11" customWidth="1"/>
    <col min="13326" max="13326" width="0" hidden="1" customWidth="1"/>
    <col min="13327" max="13327" width="7.28515625" customWidth="1"/>
    <col min="13328" max="13328" width="8.7109375" customWidth="1"/>
    <col min="13329" max="13329" width="10.85546875" customWidth="1"/>
    <col min="13330" max="13330" width="0" hidden="1" customWidth="1"/>
    <col min="13331" max="13331" width="11.7109375" customWidth="1"/>
    <col min="13333" max="13336" width="0" hidden="1" customWidth="1"/>
    <col min="13570" max="13570" width="6.28515625" customWidth="1"/>
    <col min="13571" max="13571" width="26.42578125" customWidth="1"/>
    <col min="13575" max="13575" width="7" customWidth="1"/>
    <col min="13576" max="13576" width="10.42578125" customWidth="1"/>
    <col min="13577" max="13577" width="6.42578125" bestFit="1" customWidth="1"/>
    <col min="13578" max="13578" width="9.28515625" bestFit="1" customWidth="1"/>
    <col min="13579" max="13579" width="9.28515625" customWidth="1"/>
    <col min="13580" max="13580" width="7.28515625" customWidth="1"/>
    <col min="13581" max="13581" width="11" customWidth="1"/>
    <col min="13582" max="13582" width="0" hidden="1" customWidth="1"/>
    <col min="13583" max="13583" width="7.28515625" customWidth="1"/>
    <col min="13584" max="13584" width="8.7109375" customWidth="1"/>
    <col min="13585" max="13585" width="10.85546875" customWidth="1"/>
    <col min="13586" max="13586" width="0" hidden="1" customWidth="1"/>
    <col min="13587" max="13587" width="11.7109375" customWidth="1"/>
    <col min="13589" max="13592" width="0" hidden="1" customWidth="1"/>
    <col min="13826" max="13826" width="6.28515625" customWidth="1"/>
    <col min="13827" max="13827" width="26.42578125" customWidth="1"/>
    <col min="13831" max="13831" width="7" customWidth="1"/>
    <col min="13832" max="13832" width="10.42578125" customWidth="1"/>
    <col min="13833" max="13833" width="6.42578125" bestFit="1" customWidth="1"/>
    <col min="13834" max="13834" width="9.28515625" bestFit="1" customWidth="1"/>
    <col min="13835" max="13835" width="9.28515625" customWidth="1"/>
    <col min="13836" max="13836" width="7.28515625" customWidth="1"/>
    <col min="13837" max="13837" width="11" customWidth="1"/>
    <col min="13838" max="13838" width="0" hidden="1" customWidth="1"/>
    <col min="13839" max="13839" width="7.28515625" customWidth="1"/>
    <col min="13840" max="13840" width="8.7109375" customWidth="1"/>
    <col min="13841" max="13841" width="10.85546875" customWidth="1"/>
    <col min="13842" max="13842" width="0" hidden="1" customWidth="1"/>
    <col min="13843" max="13843" width="11.7109375" customWidth="1"/>
    <col min="13845" max="13848" width="0" hidden="1" customWidth="1"/>
    <col min="14082" max="14082" width="6.28515625" customWidth="1"/>
    <col min="14083" max="14083" width="26.42578125" customWidth="1"/>
    <col min="14087" max="14087" width="7" customWidth="1"/>
    <col min="14088" max="14088" width="10.42578125" customWidth="1"/>
    <col min="14089" max="14089" width="6.42578125" bestFit="1" customWidth="1"/>
    <col min="14090" max="14090" width="9.28515625" bestFit="1" customWidth="1"/>
    <col min="14091" max="14091" width="9.28515625" customWidth="1"/>
    <col min="14092" max="14092" width="7.28515625" customWidth="1"/>
    <col min="14093" max="14093" width="11" customWidth="1"/>
    <col min="14094" max="14094" width="0" hidden="1" customWidth="1"/>
    <col min="14095" max="14095" width="7.28515625" customWidth="1"/>
    <col min="14096" max="14096" width="8.7109375" customWidth="1"/>
    <col min="14097" max="14097" width="10.85546875" customWidth="1"/>
    <col min="14098" max="14098" width="0" hidden="1" customWidth="1"/>
    <col min="14099" max="14099" width="11.7109375" customWidth="1"/>
    <col min="14101" max="14104" width="0" hidden="1" customWidth="1"/>
    <col min="14338" max="14338" width="6.28515625" customWidth="1"/>
    <col min="14339" max="14339" width="26.42578125" customWidth="1"/>
    <col min="14343" max="14343" width="7" customWidth="1"/>
    <col min="14344" max="14344" width="10.42578125" customWidth="1"/>
    <col min="14345" max="14345" width="6.42578125" bestFit="1" customWidth="1"/>
    <col min="14346" max="14346" width="9.28515625" bestFit="1" customWidth="1"/>
    <col min="14347" max="14347" width="9.28515625" customWidth="1"/>
    <col min="14348" max="14348" width="7.28515625" customWidth="1"/>
    <col min="14349" max="14349" width="11" customWidth="1"/>
    <col min="14350" max="14350" width="0" hidden="1" customWidth="1"/>
    <col min="14351" max="14351" width="7.28515625" customWidth="1"/>
    <col min="14352" max="14352" width="8.7109375" customWidth="1"/>
    <col min="14353" max="14353" width="10.85546875" customWidth="1"/>
    <col min="14354" max="14354" width="0" hidden="1" customWidth="1"/>
    <col min="14355" max="14355" width="11.7109375" customWidth="1"/>
    <col min="14357" max="14360" width="0" hidden="1" customWidth="1"/>
    <col min="14594" max="14594" width="6.28515625" customWidth="1"/>
    <col min="14595" max="14595" width="26.42578125" customWidth="1"/>
    <col min="14599" max="14599" width="7" customWidth="1"/>
    <col min="14600" max="14600" width="10.42578125" customWidth="1"/>
    <col min="14601" max="14601" width="6.42578125" bestFit="1" customWidth="1"/>
    <col min="14602" max="14602" width="9.28515625" bestFit="1" customWidth="1"/>
    <col min="14603" max="14603" width="9.28515625" customWidth="1"/>
    <col min="14604" max="14604" width="7.28515625" customWidth="1"/>
    <col min="14605" max="14605" width="11" customWidth="1"/>
    <col min="14606" max="14606" width="0" hidden="1" customWidth="1"/>
    <col min="14607" max="14607" width="7.28515625" customWidth="1"/>
    <col min="14608" max="14608" width="8.7109375" customWidth="1"/>
    <col min="14609" max="14609" width="10.85546875" customWidth="1"/>
    <col min="14610" max="14610" width="0" hidden="1" customWidth="1"/>
    <col min="14611" max="14611" width="11.7109375" customWidth="1"/>
    <col min="14613" max="14616" width="0" hidden="1" customWidth="1"/>
    <col min="14850" max="14850" width="6.28515625" customWidth="1"/>
    <col min="14851" max="14851" width="26.42578125" customWidth="1"/>
    <col min="14855" max="14855" width="7" customWidth="1"/>
    <col min="14856" max="14856" width="10.42578125" customWidth="1"/>
    <col min="14857" max="14857" width="6.42578125" bestFit="1" customWidth="1"/>
    <col min="14858" max="14858" width="9.28515625" bestFit="1" customWidth="1"/>
    <col min="14859" max="14859" width="9.28515625" customWidth="1"/>
    <col min="14860" max="14860" width="7.28515625" customWidth="1"/>
    <col min="14861" max="14861" width="11" customWidth="1"/>
    <col min="14862" max="14862" width="0" hidden="1" customWidth="1"/>
    <col min="14863" max="14863" width="7.28515625" customWidth="1"/>
    <col min="14864" max="14864" width="8.7109375" customWidth="1"/>
    <col min="14865" max="14865" width="10.85546875" customWidth="1"/>
    <col min="14866" max="14866" width="0" hidden="1" customWidth="1"/>
    <col min="14867" max="14867" width="11.7109375" customWidth="1"/>
    <col min="14869" max="14872" width="0" hidden="1" customWidth="1"/>
    <col min="15106" max="15106" width="6.28515625" customWidth="1"/>
    <col min="15107" max="15107" width="26.42578125" customWidth="1"/>
    <col min="15111" max="15111" width="7" customWidth="1"/>
    <col min="15112" max="15112" width="10.42578125" customWidth="1"/>
    <col min="15113" max="15113" width="6.42578125" bestFit="1" customWidth="1"/>
    <col min="15114" max="15114" width="9.28515625" bestFit="1" customWidth="1"/>
    <col min="15115" max="15115" width="9.28515625" customWidth="1"/>
    <col min="15116" max="15116" width="7.28515625" customWidth="1"/>
    <col min="15117" max="15117" width="11" customWidth="1"/>
    <col min="15118" max="15118" width="0" hidden="1" customWidth="1"/>
    <col min="15119" max="15119" width="7.28515625" customWidth="1"/>
    <col min="15120" max="15120" width="8.7109375" customWidth="1"/>
    <col min="15121" max="15121" width="10.85546875" customWidth="1"/>
    <col min="15122" max="15122" width="0" hidden="1" customWidth="1"/>
    <col min="15123" max="15123" width="11.7109375" customWidth="1"/>
    <col min="15125" max="15128" width="0" hidden="1" customWidth="1"/>
    <col min="15362" max="15362" width="6.28515625" customWidth="1"/>
    <col min="15363" max="15363" width="26.42578125" customWidth="1"/>
    <col min="15367" max="15367" width="7" customWidth="1"/>
    <col min="15368" max="15368" width="10.42578125" customWidth="1"/>
    <col min="15369" max="15369" width="6.42578125" bestFit="1" customWidth="1"/>
    <col min="15370" max="15370" width="9.28515625" bestFit="1" customWidth="1"/>
    <col min="15371" max="15371" width="9.28515625" customWidth="1"/>
    <col min="15372" max="15372" width="7.28515625" customWidth="1"/>
    <col min="15373" max="15373" width="11" customWidth="1"/>
    <col min="15374" max="15374" width="0" hidden="1" customWidth="1"/>
    <col min="15375" max="15375" width="7.28515625" customWidth="1"/>
    <col min="15376" max="15376" width="8.7109375" customWidth="1"/>
    <col min="15377" max="15377" width="10.85546875" customWidth="1"/>
    <col min="15378" max="15378" width="0" hidden="1" customWidth="1"/>
    <col min="15379" max="15379" width="11.7109375" customWidth="1"/>
    <col min="15381" max="15384" width="0" hidden="1" customWidth="1"/>
    <col min="15618" max="15618" width="6.28515625" customWidth="1"/>
    <col min="15619" max="15619" width="26.42578125" customWidth="1"/>
    <col min="15623" max="15623" width="7" customWidth="1"/>
    <col min="15624" max="15624" width="10.42578125" customWidth="1"/>
    <col min="15625" max="15625" width="6.42578125" bestFit="1" customWidth="1"/>
    <col min="15626" max="15626" width="9.28515625" bestFit="1" customWidth="1"/>
    <col min="15627" max="15627" width="9.28515625" customWidth="1"/>
    <col min="15628" max="15628" width="7.28515625" customWidth="1"/>
    <col min="15629" max="15629" width="11" customWidth="1"/>
    <col min="15630" max="15630" width="0" hidden="1" customWidth="1"/>
    <col min="15631" max="15631" width="7.28515625" customWidth="1"/>
    <col min="15632" max="15632" width="8.7109375" customWidth="1"/>
    <col min="15633" max="15633" width="10.85546875" customWidth="1"/>
    <col min="15634" max="15634" width="0" hidden="1" customWidth="1"/>
    <col min="15635" max="15635" width="11.7109375" customWidth="1"/>
    <col min="15637" max="15640" width="0" hidden="1" customWidth="1"/>
    <col min="15874" max="15874" width="6.28515625" customWidth="1"/>
    <col min="15875" max="15875" width="26.42578125" customWidth="1"/>
    <col min="15879" max="15879" width="7" customWidth="1"/>
    <col min="15880" max="15880" width="10.42578125" customWidth="1"/>
    <col min="15881" max="15881" width="6.42578125" bestFit="1" customWidth="1"/>
    <col min="15882" max="15882" width="9.28515625" bestFit="1" customWidth="1"/>
    <col min="15883" max="15883" width="9.28515625" customWidth="1"/>
    <col min="15884" max="15884" width="7.28515625" customWidth="1"/>
    <col min="15885" max="15885" width="11" customWidth="1"/>
    <col min="15886" max="15886" width="0" hidden="1" customWidth="1"/>
    <col min="15887" max="15887" width="7.28515625" customWidth="1"/>
    <col min="15888" max="15888" width="8.7109375" customWidth="1"/>
    <col min="15889" max="15889" width="10.85546875" customWidth="1"/>
    <col min="15890" max="15890" width="0" hidden="1" customWidth="1"/>
    <col min="15891" max="15891" width="11.7109375" customWidth="1"/>
    <col min="15893" max="15896" width="0" hidden="1" customWidth="1"/>
    <col min="16130" max="16130" width="6.28515625" customWidth="1"/>
    <col min="16131" max="16131" width="26.42578125" customWidth="1"/>
    <col min="16135" max="16135" width="7" customWidth="1"/>
    <col min="16136" max="16136" width="10.42578125" customWidth="1"/>
    <col min="16137" max="16137" width="6.42578125" bestFit="1" customWidth="1"/>
    <col min="16138" max="16138" width="9.28515625" bestFit="1" customWidth="1"/>
    <col min="16139" max="16139" width="9.28515625" customWidth="1"/>
    <col min="16140" max="16140" width="7.28515625" customWidth="1"/>
    <col min="16141" max="16141" width="11" customWidth="1"/>
    <col min="16142" max="16142" width="0" hidden="1" customWidth="1"/>
    <col min="16143" max="16143" width="7.28515625" customWidth="1"/>
    <col min="16144" max="16144" width="8.7109375" customWidth="1"/>
    <col min="16145" max="16145" width="10.85546875" customWidth="1"/>
    <col min="16146" max="16146" width="0" hidden="1" customWidth="1"/>
    <col min="16147" max="16147" width="11.7109375" customWidth="1"/>
    <col min="16149" max="16152" width="0" hidden="1" customWidth="1"/>
  </cols>
  <sheetData>
    <row r="1" spans="1:26">
      <c r="A1" s="85"/>
      <c r="B1" s="85"/>
      <c r="C1" s="91"/>
      <c r="D1" s="91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2" t="s">
        <v>0</v>
      </c>
      <c r="S1" s="2" t="s">
        <v>0</v>
      </c>
    </row>
    <row r="2" spans="1:26">
      <c r="A2" s="85"/>
      <c r="B2" s="85"/>
      <c r="C2" s="91"/>
      <c r="D2" s="91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2" t="s">
        <v>106</v>
      </c>
      <c r="S2" s="2" t="s">
        <v>138</v>
      </c>
    </row>
    <row r="3" spans="1:26">
      <c r="A3" s="85"/>
      <c r="B3" s="85"/>
      <c r="C3" s="91"/>
      <c r="D3" s="91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2" t="s">
        <v>107</v>
      </c>
      <c r="S3" s="2" t="s">
        <v>107</v>
      </c>
    </row>
    <row r="4" spans="1:26">
      <c r="A4" s="85"/>
      <c r="B4" s="85"/>
      <c r="C4" s="91"/>
      <c r="D4" s="91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2" t="s">
        <v>87</v>
      </c>
      <c r="S4" s="2" t="s">
        <v>87</v>
      </c>
    </row>
    <row r="5" spans="1:26">
      <c r="A5" s="85"/>
      <c r="B5" s="85"/>
      <c r="C5" s="91"/>
      <c r="D5" s="91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7" t="s">
        <v>124</v>
      </c>
    </row>
    <row r="6" spans="1:26">
      <c r="A6" s="310" t="s">
        <v>128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</row>
    <row r="7" spans="1:26" ht="13.5" thickBot="1">
      <c r="A7" s="85"/>
      <c r="B7" s="85"/>
      <c r="C7" s="91"/>
      <c r="D7" s="91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26" ht="13.15" customHeight="1">
      <c r="A8" s="324"/>
      <c r="B8" s="326" t="s">
        <v>108</v>
      </c>
      <c r="C8" s="328" t="s">
        <v>109</v>
      </c>
      <c r="D8" s="331" t="s">
        <v>127</v>
      </c>
      <c r="E8" s="328" t="s">
        <v>110</v>
      </c>
      <c r="F8" s="328" t="s">
        <v>111</v>
      </c>
      <c r="G8" s="331" t="s">
        <v>112</v>
      </c>
      <c r="H8" s="328" t="s">
        <v>113</v>
      </c>
      <c r="I8" s="328" t="s">
        <v>114</v>
      </c>
      <c r="J8" s="328"/>
      <c r="K8" s="321" t="s">
        <v>115</v>
      </c>
      <c r="L8" s="311" t="s">
        <v>116</v>
      </c>
      <c r="M8" s="312"/>
      <c r="N8" s="315" t="s">
        <v>125</v>
      </c>
      <c r="O8" s="317" t="s">
        <v>117</v>
      </c>
      <c r="P8" s="318"/>
      <c r="Q8" s="321" t="s">
        <v>118</v>
      </c>
      <c r="R8" s="321" t="s">
        <v>119</v>
      </c>
      <c r="S8" s="334" t="s">
        <v>120</v>
      </c>
    </row>
    <row r="9" spans="1:26">
      <c r="A9" s="325"/>
      <c r="B9" s="327"/>
      <c r="C9" s="329"/>
      <c r="D9" s="332"/>
      <c r="E9" s="329"/>
      <c r="F9" s="329"/>
      <c r="G9" s="332"/>
      <c r="H9" s="329"/>
      <c r="I9" s="329"/>
      <c r="J9" s="329"/>
      <c r="K9" s="322"/>
      <c r="L9" s="313"/>
      <c r="M9" s="314"/>
      <c r="N9" s="316"/>
      <c r="O9" s="319"/>
      <c r="P9" s="320"/>
      <c r="Q9" s="322"/>
      <c r="R9" s="322"/>
      <c r="S9" s="335"/>
    </row>
    <row r="10" spans="1:26" ht="33" customHeight="1">
      <c r="A10" s="325"/>
      <c r="B10" s="327"/>
      <c r="C10" s="330"/>
      <c r="D10" s="333"/>
      <c r="E10" s="330"/>
      <c r="F10" s="330"/>
      <c r="G10" s="332"/>
      <c r="H10" s="330"/>
      <c r="I10" s="92" t="s">
        <v>5</v>
      </c>
      <c r="J10" s="92" t="s">
        <v>121</v>
      </c>
      <c r="K10" s="322"/>
      <c r="L10" s="93" t="s">
        <v>5</v>
      </c>
      <c r="M10" s="93" t="s">
        <v>121</v>
      </c>
      <c r="N10" s="316"/>
      <c r="O10" s="92" t="s">
        <v>5</v>
      </c>
      <c r="P10" s="92" t="s">
        <v>121</v>
      </c>
      <c r="Q10" s="322"/>
      <c r="R10" s="322"/>
      <c r="S10" s="335"/>
      <c r="U10" t="s">
        <v>126</v>
      </c>
    </row>
    <row r="11" spans="1:26" s="48" customFormat="1">
      <c r="A11" s="106">
        <v>1</v>
      </c>
      <c r="B11" s="106">
        <v>2</v>
      </c>
      <c r="C11" s="106">
        <v>3</v>
      </c>
      <c r="D11" s="106"/>
      <c r="E11" s="106">
        <v>4</v>
      </c>
      <c r="F11" s="106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  <c r="L11" s="106">
        <v>11</v>
      </c>
      <c r="M11" s="106">
        <v>12</v>
      </c>
      <c r="N11" s="106">
        <v>13</v>
      </c>
      <c r="O11" s="106">
        <v>14</v>
      </c>
      <c r="P11" s="106">
        <v>15</v>
      </c>
      <c r="Q11" s="106">
        <v>16</v>
      </c>
      <c r="R11" s="106">
        <v>17</v>
      </c>
      <c r="S11" s="106">
        <v>18</v>
      </c>
      <c r="T11"/>
    </row>
    <row r="12" spans="1:26">
      <c r="A12" s="94">
        <v>1</v>
      </c>
      <c r="B12" s="95" t="s">
        <v>129</v>
      </c>
      <c r="C12" s="95">
        <v>1</v>
      </c>
      <c r="D12" s="95"/>
      <c r="E12" s="95">
        <v>5000</v>
      </c>
      <c r="F12" s="95">
        <v>2.5</v>
      </c>
      <c r="G12" s="95">
        <v>1.1000000000000001</v>
      </c>
      <c r="H12" s="96">
        <f>E12*F12*G12</f>
        <v>13750.000000000002</v>
      </c>
      <c r="I12" s="96">
        <v>40</v>
      </c>
      <c r="J12" s="97">
        <f>+H12*I12/100</f>
        <v>5500.0000000000009</v>
      </c>
      <c r="K12" s="96">
        <v>1200</v>
      </c>
      <c r="L12" s="96"/>
      <c r="M12" s="96">
        <f>H12*L12/100</f>
        <v>0</v>
      </c>
      <c r="N12" s="96">
        <v>0</v>
      </c>
      <c r="O12" s="96">
        <v>0</v>
      </c>
      <c r="P12" s="96"/>
      <c r="Q12" s="98">
        <f>H12+J12+K12+M12+N12+P12</f>
        <v>20450.000000000004</v>
      </c>
      <c r="R12" s="98">
        <f>Q12*C12</f>
        <v>20450.000000000004</v>
      </c>
      <c r="S12" s="99">
        <f>R12*8</f>
        <v>163600.00000000003</v>
      </c>
      <c r="T12">
        <f>+Q12*6</f>
        <v>122700.00000000003</v>
      </c>
      <c r="U12" s="100">
        <v>346206</v>
      </c>
      <c r="Y12" s="105">
        <f>+S12-T12</f>
        <v>40900</v>
      </c>
      <c r="Z12">
        <f>T12*0.1725</f>
        <v>21165.750000000004</v>
      </c>
    </row>
    <row r="13" spans="1:26">
      <c r="A13" s="94">
        <v>2</v>
      </c>
      <c r="B13" s="95" t="s">
        <v>122</v>
      </c>
      <c r="C13" s="95">
        <v>1</v>
      </c>
      <c r="D13" s="95"/>
      <c r="E13" s="95">
        <v>5000</v>
      </c>
      <c r="F13" s="95">
        <v>2.0699999999999998</v>
      </c>
      <c r="G13" s="95">
        <v>1.1000000000000001</v>
      </c>
      <c r="H13" s="96">
        <f t="shared" ref="H13" si="0">E13*F13*G13</f>
        <v>11385.000000000002</v>
      </c>
      <c r="I13" s="96">
        <v>40</v>
      </c>
      <c r="J13" s="97">
        <f t="shared" ref="J13" si="1">+H13*I13/100</f>
        <v>4554.0000000000009</v>
      </c>
      <c r="K13" s="96">
        <v>800</v>
      </c>
      <c r="L13" s="96"/>
      <c r="M13" s="96">
        <f t="shared" ref="M13" si="2">H13*L13/100</f>
        <v>0</v>
      </c>
      <c r="N13" s="96">
        <v>0</v>
      </c>
      <c r="O13" s="96">
        <v>0</v>
      </c>
      <c r="P13" s="96"/>
      <c r="Q13" s="98">
        <f t="shared" ref="Q13" si="3">H13+J13+K13+M13+N13+P13</f>
        <v>16739.000000000004</v>
      </c>
      <c r="R13" s="98">
        <f t="shared" ref="R13" si="4">Q13*C13</f>
        <v>16739.000000000004</v>
      </c>
      <c r="S13" s="99">
        <f t="shared" ref="S13" si="5">R13*8</f>
        <v>133912.00000000003</v>
      </c>
      <c r="T13">
        <f>+Q13*6</f>
        <v>100434.00000000003</v>
      </c>
      <c r="U13" s="101">
        <v>227227</v>
      </c>
      <c r="Y13" s="105">
        <f>+S13-T13</f>
        <v>33478</v>
      </c>
      <c r="Z13">
        <f>T13*0.1725</f>
        <v>17324.865000000005</v>
      </c>
    </row>
    <row r="14" spans="1:26">
      <c r="A14" s="102"/>
      <c r="B14" s="102" t="s">
        <v>123</v>
      </c>
      <c r="C14" s="103">
        <f>SUM(C12:C13)</f>
        <v>2</v>
      </c>
      <c r="D14" s="103"/>
      <c r="E14" s="103"/>
      <c r="F14" s="103"/>
      <c r="G14" s="103"/>
      <c r="H14" s="88">
        <f>SUM(H12:H13)</f>
        <v>25135.000000000004</v>
      </c>
      <c r="I14" s="88"/>
      <c r="J14" s="88">
        <f>SUM(J12:J13)</f>
        <v>10054.000000000002</v>
      </c>
      <c r="K14" s="88">
        <f>SUM(K12:K13)</f>
        <v>2000</v>
      </c>
      <c r="L14" s="88"/>
      <c r="M14" s="88">
        <f t="shared" ref="M14:S14" si="6">SUM(M12:M13)</f>
        <v>0</v>
      </c>
      <c r="N14" s="88">
        <f t="shared" si="6"/>
        <v>0</v>
      </c>
      <c r="O14" s="88">
        <f t="shared" si="6"/>
        <v>0</v>
      </c>
      <c r="P14" s="88">
        <f t="shared" si="6"/>
        <v>0</v>
      </c>
      <c r="Q14" s="88">
        <f t="shared" si="6"/>
        <v>37189.000000000007</v>
      </c>
      <c r="R14" s="88">
        <f t="shared" si="6"/>
        <v>37189.000000000007</v>
      </c>
      <c r="S14" s="88">
        <f t="shared" si="6"/>
        <v>297512.00000000006</v>
      </c>
      <c r="T14" s="127">
        <f>SUM(T12:T13)</f>
        <v>223134.00000000006</v>
      </c>
      <c r="U14" s="104">
        <v>2136890</v>
      </c>
      <c r="V14" s="105">
        <f>+S14-U14</f>
        <v>-1839378</v>
      </c>
      <c r="Y14" s="127">
        <f>SUM(Y12:Y13)</f>
        <v>74378</v>
      </c>
      <c r="Z14">
        <f>SUM(Z12:Z13)</f>
        <v>38490.615000000005</v>
      </c>
    </row>
    <row r="15" spans="1:26">
      <c r="B15" s="90"/>
      <c r="S15" s="89">
        <f>+Q14*12*0.1725</f>
        <v>76981.23000000001</v>
      </c>
    </row>
    <row r="16" spans="1:26">
      <c r="B16" s="90"/>
      <c r="S16">
        <f>+S15/2</f>
        <v>38490.615000000005</v>
      </c>
    </row>
    <row r="17" spans="2:19">
      <c r="B17" s="77" t="s">
        <v>14</v>
      </c>
    </row>
    <row r="18" spans="2:19">
      <c r="S18" s="105"/>
    </row>
    <row r="19" spans="2:19">
      <c r="S19" s="105"/>
    </row>
  </sheetData>
  <mergeCells count="17">
    <mergeCell ref="A6:S6"/>
    <mergeCell ref="A8:A10"/>
    <mergeCell ref="B8:B10"/>
    <mergeCell ref="C8:C10"/>
    <mergeCell ref="D8:D10"/>
    <mergeCell ref="E8:E10"/>
    <mergeCell ref="F8:F10"/>
    <mergeCell ref="G8:G10"/>
    <mergeCell ref="H8:H10"/>
    <mergeCell ref="I8:J9"/>
    <mergeCell ref="S8:S10"/>
    <mergeCell ref="K8:K10"/>
    <mergeCell ref="L8:M9"/>
    <mergeCell ref="N8:N10"/>
    <mergeCell ref="O8:P9"/>
    <mergeCell ref="Q8:Q10"/>
    <mergeCell ref="R8:R10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өзгөртүүлөр бюджет</vt:lpstr>
      <vt:lpstr>өзгөртүүлөр атайын эсеп</vt:lpstr>
      <vt:lpstr>Т 1</vt:lpstr>
      <vt:lpstr>Т2</vt:lpstr>
      <vt:lpstr>Т2а</vt:lpstr>
      <vt:lpstr>Т 3 </vt:lpstr>
      <vt:lpstr>Т 4</vt:lpstr>
      <vt:lpstr>Т 4а</vt:lpstr>
      <vt:lpstr>Маданият болуму</vt:lpstr>
      <vt:lpstr>'өзгөртүүлөр бюджет'!Заголовки_для_печати</vt:lpstr>
      <vt:lpstr>'Т 1'!Заголовки_для_печати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Nurbek Haitkulov</dc:creator>
  <cp:lastModifiedBy>Пользователь</cp:lastModifiedBy>
  <cp:lastPrinted>2023-03-11T02:58:19Z</cp:lastPrinted>
  <dcterms:created xsi:type="dcterms:W3CDTF">2019-01-14T08:31:43Z</dcterms:created>
  <dcterms:modified xsi:type="dcterms:W3CDTF">2023-03-11T09:24:49Z</dcterms:modified>
</cp:coreProperties>
</file>