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ГУЛЬЗАТ 2025\сессия 10 созыв\17 сессия\"/>
    </mc:Choice>
  </mc:AlternateContent>
  <xr:revisionPtr revIDLastSave="0" documentId="13_ncr:1_{15127D0B-94BE-4675-AF35-E39F6C108F4C}" xr6:coauthVersionLast="47" xr6:coauthVersionMax="47" xr10:uidLastSave="{00000000-0000-0000-0000-000000000000}"/>
  <bookViews>
    <workbookView xWindow="-120" yWindow="-120" windowWidth="29040" windowHeight="15720" tabRatio="706" firstSheet="13" activeTab="22" xr2:uid="{00000000-000D-0000-FFFF-FFFF00000000}"/>
  </bookViews>
  <sheets>
    <sheet name="Изменение 1 до ошибки" sheetId="79" state="hidden" r:id="rId1"/>
    <sheet name="Т1 старый" sheetId="80" state="hidden" r:id="rId2"/>
    <sheet name="Спец" sheetId="77" state="hidden" r:id="rId3"/>
    <sheet name="Т 1" sheetId="1" r:id="rId4"/>
    <sheet name="Т2" sheetId="57" r:id="rId5"/>
    <sheet name="Т2а" sheetId="58" r:id="rId6"/>
    <sheet name="Т3 мэрия" sheetId="61" r:id="rId7"/>
    <sheet name="Т4 управа" sheetId="15" r:id="rId8"/>
    <sheet name="Т5 Тайгараев" sheetId="54" r:id="rId9"/>
    <sheet name="Т6 Конгантиев" sheetId="71" r:id="rId10"/>
    <sheet name="Т7 УГД" sheetId="35" r:id="rId11"/>
    <sheet name="Т8 ЖКХ" sheetId="36" r:id="rId12"/>
    <sheet name="Т9 Жашыл" sheetId="22" r:id="rId13"/>
    <sheet name="Т10 тазалык бюджет" sheetId="62" r:id="rId14"/>
    <sheet name="Т10а тазалык спец" sheetId="60" r:id="rId15"/>
    <sheet name="Т11 УЗР" sheetId="56" r:id="rId16"/>
    <sheet name="Т12 УМИ бюджет" sheetId="72" r:id="rId17"/>
    <sheet name="Т12а УМИ спец" sheetId="73" r:id="rId18"/>
    <sheet name="Т13 ФК " sheetId="48" r:id="rId19"/>
    <sheet name="Т14 стадион" sheetId="31" r:id="rId20"/>
    <sheet name="Т15 милосердие" sheetId="38" r:id="rId21"/>
    <sheet name="Т16 Совет ветеран" sheetId="41" r:id="rId22"/>
    <sheet name="Лист1" sheetId="81" r:id="rId23"/>
  </sheets>
  <externalReferences>
    <externalReference r:id="rId24"/>
    <externalReference r:id="rId25"/>
    <externalReference r:id="rId26"/>
    <externalReference r:id="rId27"/>
  </externalReferences>
  <definedNames>
    <definedName name="_xlnm.Print_Titles" localSheetId="3">'Т 1'!$6:$8</definedName>
    <definedName name="_xlnm.Print_Titles" localSheetId="14">'Т10а тазалык спец'!$5:$8</definedName>
    <definedName name="_xlnm.Print_Titles" localSheetId="15">'Т11 УЗР'!$6:$9</definedName>
    <definedName name="_xlnm.Print_Titles" localSheetId="16">'Т12 УМИ бюджет'!$6:$9</definedName>
    <definedName name="_xlnm.Print_Titles" localSheetId="17">'Т12а УМИ спец'!$6:$9</definedName>
    <definedName name="_xlnm.Print_Titles" localSheetId="4">Т2!$4:$6</definedName>
    <definedName name="_xlnm.Print_Titles" localSheetId="5">Т2а!$4:$5</definedName>
    <definedName name="_xlnm.Print_Titles" localSheetId="10">'Т7 УГД'!$5:$8</definedName>
    <definedName name="_xlnm.Print_Titles" localSheetId="11">'Т8 ЖКХ'!$5:$8</definedName>
    <definedName name="_xlnm.Print_Titles" localSheetId="12">'Т9 Жашыл'!$6:$9</definedName>
    <definedName name="об" localSheetId="3">'[1]объяс.Iполугод.'!#REF!</definedName>
    <definedName name="об" localSheetId="20">'[2]объяс.Iполугод.'!#REF!</definedName>
    <definedName name="об" localSheetId="21">'[2]объяс.Iполугод.'!#REF!</definedName>
    <definedName name="об" localSheetId="10">'[1]объяс.Iполугод.'!#REF!</definedName>
    <definedName name="об" localSheetId="11">'[1]объяс.Iполугод.'!#REF!</definedName>
    <definedName name="об" localSheetId="12">'[1]объяс.Iполугод.'!#REF!</definedName>
    <definedName name="об">'[1]объяс.Iполугод.'!#REF!</definedName>
    <definedName name="_xlnm.Print_Area" localSheetId="13">'Т10 тазалык бюджет'!$A$1:$Y$21</definedName>
    <definedName name="_xlnm.Print_Area" localSheetId="14">'Т10а тазалык спец'!$A$1:$Y$28</definedName>
    <definedName name="_xlnm.Print_Area" localSheetId="15">'Т11 УЗР'!$A$1:$Y$32</definedName>
    <definedName name="_xlnm.Print_Area" localSheetId="16">'Т12 УМИ бюджет'!$A$1:$Z$39</definedName>
    <definedName name="_xlnm.Print_Area" localSheetId="17">'Т12а УМИ спец'!$A$1:$AB$47</definedName>
    <definedName name="_xlnm.Print_Area" localSheetId="18">'Т13 ФК '!$A$1:$AA$20</definedName>
    <definedName name="_xlnm.Print_Area" localSheetId="19">'Т14 стадион'!$A$1:$Y$30</definedName>
    <definedName name="_xlnm.Print_Area" localSheetId="20">'Т15 милосердие'!$A$1:$Y$26</definedName>
    <definedName name="_xlnm.Print_Area" localSheetId="21">'Т16 Совет ветеран'!$A$1:$AB$22</definedName>
    <definedName name="_xlnm.Print_Area" localSheetId="4">Т2!$A$1:$G$284</definedName>
    <definedName name="_xlnm.Print_Area" localSheetId="5">Т2а!$A$1:$G$80</definedName>
    <definedName name="_xlnm.Print_Area" localSheetId="6">'Т3 мэрия'!$A$1:$AC$25</definedName>
    <definedName name="_xlnm.Print_Area" localSheetId="7">'Т4 управа'!$A$1:$AA$26</definedName>
    <definedName name="_xlnm.Print_Area" localSheetId="8">'Т5 Тайгараев'!$A$1:$AA$25</definedName>
    <definedName name="_xlnm.Print_Area" localSheetId="9">'Т6 Конгантиев'!$A$1:$AA$23</definedName>
    <definedName name="_xlnm.Print_Area" localSheetId="10">'Т7 УГД'!$A$1:$Y$47</definedName>
    <definedName name="_xlnm.Print_Area" localSheetId="11">'Т8 ЖКХ'!$A$1:$Y$41</definedName>
    <definedName name="_xlnm.Print_Area" localSheetId="12">'Т9 Жашыл'!$A$1:$Y$41</definedName>
    <definedName name="ололо" localSheetId="3">'[3]объяс.Iполугод.'!#REF!</definedName>
    <definedName name="ололо" localSheetId="20">'[4]объяс.Iполугод.'!#REF!</definedName>
    <definedName name="ололо" localSheetId="21">'[4]объяс.Iполугод.'!#REF!</definedName>
    <definedName name="ололо" localSheetId="10">'[3]объяс.Iполугод.'!#REF!</definedName>
    <definedName name="ололо" localSheetId="11">'[3]объяс.Iполугод.'!#REF!</definedName>
    <definedName name="ололо" localSheetId="12">'[3]объяс.Iполугод.'!#REF!</definedName>
    <definedName name="ололо">'[3]объяс.Iполугод.'!#REF!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1" i="58" l="1"/>
  <c r="E71" i="58"/>
  <c r="F71" i="58"/>
  <c r="F136" i="57"/>
  <c r="M64" i="1"/>
  <c r="L40" i="1"/>
  <c r="L57" i="1" l="1"/>
  <c r="F93" i="57"/>
  <c r="F70" i="58"/>
  <c r="D70" i="58"/>
  <c r="F66" i="58"/>
  <c r="D66" i="58"/>
  <c r="L58" i="1"/>
  <c r="L60" i="1"/>
  <c r="F58" i="58"/>
  <c r="E58" i="58"/>
  <c r="D58" i="58"/>
  <c r="D279" i="57"/>
  <c r="F212" i="57"/>
  <c r="F123" i="57"/>
  <c r="F167" i="57" l="1"/>
  <c r="F63" i="58"/>
  <c r="F55" i="58"/>
  <c r="F33" i="58"/>
  <c r="F10" i="58"/>
  <c r="F13" i="58" s="1"/>
  <c r="F8" i="58"/>
  <c r="F147" i="57" l="1"/>
  <c r="F150" i="57"/>
  <c r="F149" i="57"/>
  <c r="F277" i="57"/>
  <c r="F272" i="57"/>
  <c r="F267" i="57"/>
  <c r="F262" i="57"/>
  <c r="F259" i="57"/>
  <c r="F252" i="57"/>
  <c r="F239" i="57"/>
  <c r="F231" i="57"/>
  <c r="F227" i="57"/>
  <c r="F221" i="57"/>
  <c r="F216" i="57"/>
  <c r="F192" i="57"/>
  <c r="F193" i="57" s="1"/>
  <c r="F188" i="57"/>
  <c r="F180" i="57"/>
  <c r="F138" i="57"/>
  <c r="F127" i="57"/>
  <c r="F116" i="57"/>
  <c r="F110" i="57"/>
  <c r="F103" i="57"/>
  <c r="F153" i="57" l="1"/>
  <c r="F283" i="57" s="1"/>
  <c r="E150" i="57"/>
  <c r="L61" i="1"/>
  <c r="L41" i="1" l="1"/>
  <c r="L9" i="1" l="1"/>
  <c r="E267" i="57" l="1"/>
  <c r="E262" i="57"/>
  <c r="D13" i="58"/>
  <c r="E277" i="57"/>
  <c r="E272" i="57"/>
  <c r="E231" i="57"/>
  <c r="E227" i="57"/>
  <c r="E63" i="58"/>
  <c r="E66" i="58" s="1"/>
  <c r="E70" i="58" s="1"/>
  <c r="D63" i="58"/>
  <c r="E8" i="58"/>
  <c r="D8" i="58"/>
  <c r="E188" i="57"/>
  <c r="E212" i="57"/>
  <c r="E127" i="57"/>
  <c r="E10" i="58"/>
  <c r="E13" i="58" s="1"/>
  <c r="E221" i="57" l="1"/>
  <c r="E239" i="57"/>
  <c r="E138" i="57"/>
  <c r="E216" i="57"/>
  <c r="E259" i="57"/>
  <c r="E252" i="57"/>
  <c r="E180" i="57"/>
  <c r="E167" i="57"/>
  <c r="E123" i="57"/>
  <c r="E116" i="57"/>
  <c r="E110" i="57"/>
  <c r="E103" i="57"/>
  <c r="E93" i="57"/>
  <c r="E286" i="57"/>
  <c r="D43" i="57"/>
  <c r="M38" i="36" l="1"/>
  <c r="L38" i="36"/>
  <c r="K38" i="36"/>
  <c r="J38" i="36"/>
  <c r="I38" i="36"/>
  <c r="H38" i="36"/>
  <c r="D38" i="36"/>
  <c r="C38" i="36"/>
  <c r="O37" i="36"/>
  <c r="F37" i="36"/>
  <c r="O36" i="36"/>
  <c r="F36" i="36"/>
  <c r="Q36" i="36" s="1"/>
  <c r="R36" i="36" s="1"/>
  <c r="S36" i="36" s="1"/>
  <c r="O35" i="36"/>
  <c r="F35" i="36"/>
  <c r="O34" i="36"/>
  <c r="F34" i="36"/>
  <c r="Q34" i="36" s="1"/>
  <c r="F33" i="36"/>
  <c r="O32" i="36"/>
  <c r="F32" i="36"/>
  <c r="Q32" i="36" s="1"/>
  <c r="O31" i="36"/>
  <c r="F31" i="36"/>
  <c r="O30" i="36"/>
  <c r="F30" i="36"/>
  <c r="Q30" i="36" s="1"/>
  <c r="O29" i="36"/>
  <c r="F29" i="36"/>
  <c r="O28" i="36"/>
  <c r="F28" i="36"/>
  <c r="O27" i="36"/>
  <c r="F27" i="36"/>
  <c r="O26" i="36"/>
  <c r="F26" i="36"/>
  <c r="O25" i="36"/>
  <c r="F25" i="36"/>
  <c r="X14" i="41"/>
  <c r="W14" i="41"/>
  <c r="V14" i="41"/>
  <c r="U14" i="41"/>
  <c r="N14" i="41"/>
  <c r="M14" i="41"/>
  <c r="K14" i="41"/>
  <c r="J14" i="41"/>
  <c r="I14" i="41"/>
  <c r="D14" i="41"/>
  <c r="C14" i="41"/>
  <c r="F13" i="41"/>
  <c r="H13" i="41" s="1"/>
  <c r="X14" i="48"/>
  <c r="Q14" i="48"/>
  <c r="O14" i="48"/>
  <c r="I14" i="48"/>
  <c r="H14" i="48"/>
  <c r="D14" i="48"/>
  <c r="C14" i="48"/>
  <c r="F13" i="48"/>
  <c r="X15" i="15"/>
  <c r="W15" i="15"/>
  <c r="P15" i="15"/>
  <c r="O15" i="15"/>
  <c r="K15" i="15"/>
  <c r="J15" i="15"/>
  <c r="I15" i="15"/>
  <c r="H15" i="15"/>
  <c r="D15" i="15"/>
  <c r="C15" i="15"/>
  <c r="F14" i="15"/>
  <c r="Z15" i="61"/>
  <c r="Y15" i="61"/>
  <c r="R15" i="61"/>
  <c r="Q15" i="61"/>
  <c r="K15" i="61"/>
  <c r="I15" i="61"/>
  <c r="D15" i="61"/>
  <c r="C15" i="61"/>
  <c r="F14" i="61"/>
  <c r="F15" i="61" s="1"/>
  <c r="D7" i="57"/>
  <c r="O26" i="31"/>
  <c r="N26" i="31"/>
  <c r="H26" i="31"/>
  <c r="G26" i="31"/>
  <c r="D26" i="31"/>
  <c r="C26" i="31"/>
  <c r="F25" i="31"/>
  <c r="F24" i="31"/>
  <c r="Q24" i="31" s="1"/>
  <c r="R24" i="31" s="1"/>
  <c r="S24" i="31" s="1"/>
  <c r="F23" i="31"/>
  <c r="F22" i="31"/>
  <c r="F21" i="31"/>
  <c r="Q21" i="31" s="1"/>
  <c r="R21" i="31" s="1"/>
  <c r="S21" i="31" s="1"/>
  <c r="F20" i="31"/>
  <c r="F19" i="31"/>
  <c r="D55" i="57"/>
  <c r="O22" i="38"/>
  <c r="N22" i="38"/>
  <c r="M22" i="38"/>
  <c r="K22" i="38"/>
  <c r="J22" i="38"/>
  <c r="I22" i="38"/>
  <c r="G22" i="38"/>
  <c r="D22" i="38"/>
  <c r="C22" i="38"/>
  <c r="F21" i="38"/>
  <c r="F20" i="38"/>
  <c r="F19" i="38"/>
  <c r="F18" i="38"/>
  <c r="F17" i="38"/>
  <c r="F10" i="38"/>
  <c r="R10" i="38" s="1"/>
  <c r="S10" i="38" s="1"/>
  <c r="X16" i="71"/>
  <c r="O16" i="71"/>
  <c r="L16" i="71"/>
  <c r="K16" i="71"/>
  <c r="J16" i="71"/>
  <c r="I16" i="71"/>
  <c r="D16" i="71"/>
  <c r="C16" i="71"/>
  <c r="F15" i="71"/>
  <c r="M15" i="71" s="1"/>
  <c r="F14" i="71"/>
  <c r="Q14" i="71" s="1"/>
  <c r="N44" i="35"/>
  <c r="M44" i="35"/>
  <c r="L44" i="35"/>
  <c r="K44" i="35"/>
  <c r="J44" i="35"/>
  <c r="I44" i="35"/>
  <c r="H44" i="35"/>
  <c r="G44" i="35"/>
  <c r="D44" i="35"/>
  <c r="C44" i="35"/>
  <c r="O43" i="35"/>
  <c r="F43" i="35"/>
  <c r="Q43" i="35" s="1"/>
  <c r="O42" i="35"/>
  <c r="F42" i="35"/>
  <c r="Q42" i="35" s="1"/>
  <c r="O41" i="35"/>
  <c r="F41" i="35"/>
  <c r="Q41" i="35" s="1"/>
  <c r="F40" i="35"/>
  <c r="R40" i="35" s="1"/>
  <c r="S40" i="35" s="1"/>
  <c r="V40" i="35" s="1"/>
  <c r="O39" i="35"/>
  <c r="F39" i="35"/>
  <c r="O38" i="35"/>
  <c r="F38" i="35"/>
  <c r="O37" i="35"/>
  <c r="F37" i="35"/>
  <c r="O36" i="35"/>
  <c r="F36" i="35"/>
  <c r="O35" i="35"/>
  <c r="F35" i="35"/>
  <c r="R35" i="35" s="1"/>
  <c r="S35" i="35" s="1"/>
  <c r="O34" i="35"/>
  <c r="F34" i="35"/>
  <c r="O33" i="35"/>
  <c r="F33" i="35"/>
  <c r="O32" i="35"/>
  <c r="F32" i="35"/>
  <c r="O31" i="35"/>
  <c r="F31" i="35"/>
  <c r="R31" i="35" s="1"/>
  <c r="S31" i="35" s="1"/>
  <c r="T31" i="35" s="1"/>
  <c r="O30" i="35"/>
  <c r="F30" i="35"/>
  <c r="R30" i="35" s="1"/>
  <c r="S30" i="35" s="1"/>
  <c r="O29" i="35"/>
  <c r="F29" i="35"/>
  <c r="O28" i="35"/>
  <c r="F28" i="35"/>
  <c r="R29" i="35" l="1"/>
  <c r="S29" i="35" s="1"/>
  <c r="T29" i="35" s="1"/>
  <c r="R36" i="35"/>
  <c r="S36" i="35" s="1"/>
  <c r="V36" i="35" s="1"/>
  <c r="R39" i="35"/>
  <c r="S39" i="35" s="1"/>
  <c r="T39" i="35" s="1"/>
  <c r="R33" i="35"/>
  <c r="S33" i="35" s="1"/>
  <c r="V33" i="35" s="1"/>
  <c r="R42" i="35"/>
  <c r="S42" i="35" s="1"/>
  <c r="T42" i="35" s="1"/>
  <c r="R34" i="35"/>
  <c r="S34" i="35" s="1"/>
  <c r="V34" i="35" s="1"/>
  <c r="R38" i="35"/>
  <c r="S38" i="35" s="1"/>
  <c r="V38" i="35" s="1"/>
  <c r="R32" i="35"/>
  <c r="S32" i="35" s="1"/>
  <c r="V32" i="35" s="1"/>
  <c r="R37" i="35"/>
  <c r="S37" i="35" s="1"/>
  <c r="U37" i="35" s="1"/>
  <c r="R27" i="36"/>
  <c r="S27" i="36" s="1"/>
  <c r="F16" i="71"/>
  <c r="Q15" i="71"/>
  <c r="R15" i="71" s="1"/>
  <c r="S15" i="71" s="1"/>
  <c r="R34" i="36"/>
  <c r="S34" i="36" s="1"/>
  <c r="O44" i="35"/>
  <c r="V31" i="35"/>
  <c r="X31" i="35" s="1"/>
  <c r="R26" i="36"/>
  <c r="S26" i="36" s="1"/>
  <c r="V26" i="36" s="1"/>
  <c r="R29" i="36"/>
  <c r="S29" i="36" s="1"/>
  <c r="V29" i="36" s="1"/>
  <c r="E153" i="57"/>
  <c r="R32" i="36"/>
  <c r="S32" i="36" s="1"/>
  <c r="V32" i="36" s="1"/>
  <c r="R30" i="36"/>
  <c r="S30" i="36" s="1"/>
  <c r="R28" i="36"/>
  <c r="S28" i="36" s="1"/>
  <c r="U28" i="36" s="1"/>
  <c r="U38" i="36" s="1"/>
  <c r="F38" i="36"/>
  <c r="R25" i="36"/>
  <c r="S25" i="36" s="1"/>
  <c r="V34" i="36"/>
  <c r="V36" i="36"/>
  <c r="X36" i="36" s="1"/>
  <c r="O38" i="36"/>
  <c r="Q33" i="36"/>
  <c r="Q35" i="36"/>
  <c r="R35" i="36" s="1"/>
  <c r="S35" i="36" s="1"/>
  <c r="Q37" i="36"/>
  <c r="R37" i="36" s="1"/>
  <c r="S37" i="36" s="1"/>
  <c r="Q31" i="36"/>
  <c r="R31" i="36" s="1"/>
  <c r="O13" i="41"/>
  <c r="O14" i="41" s="1"/>
  <c r="Q13" i="41"/>
  <c r="Q14" i="41" s="1"/>
  <c r="H14" i="41"/>
  <c r="F14" i="41"/>
  <c r="K13" i="48"/>
  <c r="K14" i="48" s="1"/>
  <c r="F14" i="48"/>
  <c r="M13" i="48"/>
  <c r="M14" i="48" s="1"/>
  <c r="M14" i="15"/>
  <c r="M15" i="15" s="1"/>
  <c r="F15" i="15"/>
  <c r="Q14" i="15"/>
  <c r="Q15" i="15" s="1"/>
  <c r="S14" i="61"/>
  <c r="S15" i="61" s="1"/>
  <c r="H14" i="61"/>
  <c r="O14" i="61"/>
  <c r="O15" i="61" s="1"/>
  <c r="V24" i="31"/>
  <c r="U24" i="31"/>
  <c r="T24" i="31"/>
  <c r="V21" i="31"/>
  <c r="Q20" i="31"/>
  <c r="R20" i="31" s="1"/>
  <c r="S20" i="31" s="1"/>
  <c r="Q23" i="31"/>
  <c r="R23" i="31" s="1"/>
  <c r="S23" i="31" s="1"/>
  <c r="F26" i="31"/>
  <c r="Q19" i="31"/>
  <c r="R19" i="31" s="1"/>
  <c r="Q22" i="31"/>
  <c r="R22" i="31" s="1"/>
  <c r="S22" i="31" s="1"/>
  <c r="Q25" i="31"/>
  <c r="R25" i="31" s="1"/>
  <c r="S25" i="31" s="1"/>
  <c r="F22" i="38"/>
  <c r="R17" i="38"/>
  <c r="Q20" i="38"/>
  <c r="R20" i="38" s="1"/>
  <c r="S20" i="38" s="1"/>
  <c r="H19" i="38"/>
  <c r="H21" i="38"/>
  <c r="Q19" i="38"/>
  <c r="Q21" i="38"/>
  <c r="H18" i="38"/>
  <c r="T10" i="38"/>
  <c r="U10" i="38"/>
  <c r="V10" i="38"/>
  <c r="M14" i="71"/>
  <c r="M16" i="71" s="1"/>
  <c r="H14" i="71"/>
  <c r="R43" i="35"/>
  <c r="S43" i="35" s="1"/>
  <c r="U43" i="35" s="1"/>
  <c r="R41" i="35"/>
  <c r="S41" i="35" s="1"/>
  <c r="U41" i="35" s="1"/>
  <c r="U31" i="35"/>
  <c r="V30" i="35"/>
  <c r="U30" i="35"/>
  <c r="T30" i="35"/>
  <c r="U36" i="35"/>
  <c r="T36" i="35"/>
  <c r="V39" i="35"/>
  <c r="V42" i="35"/>
  <c r="U35" i="35"/>
  <c r="T35" i="35"/>
  <c r="V35" i="35"/>
  <c r="Q44" i="35"/>
  <c r="T40" i="35"/>
  <c r="F44" i="35"/>
  <c r="R28" i="35"/>
  <c r="U40" i="35"/>
  <c r="V27" i="56"/>
  <c r="U27" i="56"/>
  <c r="O27" i="56"/>
  <c r="I27" i="56"/>
  <c r="D27" i="56"/>
  <c r="C27" i="56"/>
  <c r="F26" i="56"/>
  <c r="F25" i="56"/>
  <c r="K25" i="56" s="1"/>
  <c r="F24" i="56"/>
  <c r="H24" i="56" s="1"/>
  <c r="F23" i="56"/>
  <c r="H23" i="56" s="1"/>
  <c r="F22" i="56"/>
  <c r="F21" i="56"/>
  <c r="F20" i="56"/>
  <c r="E55" i="58"/>
  <c r="T38" i="35" l="1"/>
  <c r="U38" i="35"/>
  <c r="U29" i="35"/>
  <c r="U32" i="35"/>
  <c r="W36" i="35"/>
  <c r="V29" i="35"/>
  <c r="W29" i="35" s="1"/>
  <c r="Y29" i="35" s="1"/>
  <c r="T33" i="35"/>
  <c r="U33" i="35"/>
  <c r="X38" i="35"/>
  <c r="U34" i="35"/>
  <c r="T34" i="35"/>
  <c r="U42" i="35"/>
  <c r="W42" i="35" s="1"/>
  <c r="U39" i="35"/>
  <c r="W39" i="35" s="1"/>
  <c r="V43" i="35"/>
  <c r="X29" i="35"/>
  <c r="V37" i="35"/>
  <c r="X37" i="35" s="1"/>
  <c r="T28" i="36"/>
  <c r="T38" i="36" s="1"/>
  <c r="W36" i="36"/>
  <c r="Y36" i="36" s="1"/>
  <c r="R19" i="38"/>
  <c r="S19" i="38" s="1"/>
  <c r="T19" i="38" s="1"/>
  <c r="X35" i="35"/>
  <c r="T37" i="35"/>
  <c r="H22" i="38"/>
  <c r="W31" i="35"/>
  <c r="Y31" i="35" s="1"/>
  <c r="X30" i="35"/>
  <c r="T32" i="35"/>
  <c r="X32" i="35" s="1"/>
  <c r="W24" i="31"/>
  <c r="V30" i="36"/>
  <c r="X30" i="36" s="1"/>
  <c r="X42" i="35"/>
  <c r="X39" i="35"/>
  <c r="X34" i="35"/>
  <c r="R13" i="41"/>
  <c r="R14" i="41" s="1"/>
  <c r="X35" i="36"/>
  <c r="V27" i="36"/>
  <c r="X27" i="36" s="1"/>
  <c r="W32" i="36"/>
  <c r="X32" i="36"/>
  <c r="X34" i="36"/>
  <c r="W34" i="36"/>
  <c r="W38" i="35"/>
  <c r="K23" i="56"/>
  <c r="P23" i="56" s="1"/>
  <c r="Q23" i="56" s="1"/>
  <c r="S23" i="56" s="1"/>
  <c r="X21" i="31"/>
  <c r="W21" i="31"/>
  <c r="W29" i="36"/>
  <c r="X29" i="36"/>
  <c r="V28" i="36"/>
  <c r="W26" i="36"/>
  <c r="X26" i="36"/>
  <c r="X24" i="31"/>
  <c r="Q38" i="36"/>
  <c r="S31" i="36"/>
  <c r="V35" i="36"/>
  <c r="W35" i="36" s="1"/>
  <c r="R33" i="36"/>
  <c r="S33" i="36" s="1"/>
  <c r="V37" i="36"/>
  <c r="X37" i="36" s="1"/>
  <c r="V25" i="36"/>
  <c r="X25" i="36" s="1"/>
  <c r="R13" i="48"/>
  <c r="R14" i="15"/>
  <c r="T14" i="61"/>
  <c r="H15" i="61"/>
  <c r="V23" i="31"/>
  <c r="W23" i="31" s="1"/>
  <c r="V20" i="31"/>
  <c r="X20" i="31" s="1"/>
  <c r="V22" i="31"/>
  <c r="W22" i="31" s="1"/>
  <c r="V25" i="31"/>
  <c r="U25" i="31"/>
  <c r="T25" i="31"/>
  <c r="R26" i="31"/>
  <c r="S19" i="31"/>
  <c r="Q26" i="31"/>
  <c r="W10" i="38"/>
  <c r="X20" i="38"/>
  <c r="W20" i="38"/>
  <c r="X10" i="38"/>
  <c r="R21" i="38"/>
  <c r="S21" i="38" s="1"/>
  <c r="S17" i="38"/>
  <c r="Q22" i="38"/>
  <c r="R18" i="38"/>
  <c r="S18" i="38" s="1"/>
  <c r="Z15" i="71"/>
  <c r="Q16" i="71"/>
  <c r="R14" i="71"/>
  <c r="H16" i="71"/>
  <c r="V15" i="71"/>
  <c r="Y15" i="71" s="1"/>
  <c r="T43" i="35"/>
  <c r="V41" i="35"/>
  <c r="T41" i="35"/>
  <c r="X40" i="35"/>
  <c r="W40" i="35"/>
  <c r="Y40" i="35"/>
  <c r="W35" i="35"/>
  <c r="X36" i="35"/>
  <c r="W30" i="35"/>
  <c r="S28" i="35"/>
  <c r="R44" i="35"/>
  <c r="K24" i="56"/>
  <c r="P24" i="56" s="1"/>
  <c r="Q24" i="56" s="1"/>
  <c r="H22" i="56"/>
  <c r="K22" i="56"/>
  <c r="H21" i="56"/>
  <c r="H20" i="56"/>
  <c r="K21" i="56"/>
  <c r="H26" i="56"/>
  <c r="F27" i="56"/>
  <c r="K20" i="56"/>
  <c r="H25" i="56"/>
  <c r="P25" i="56" s="1"/>
  <c r="Q25" i="56" s="1"/>
  <c r="K26" i="56"/>
  <c r="E192" i="57"/>
  <c r="E193" i="57" s="1"/>
  <c r="E283" i="57" s="1"/>
  <c r="P26" i="60"/>
  <c r="N26" i="60"/>
  <c r="M26" i="60"/>
  <c r="L26" i="60"/>
  <c r="K26" i="60"/>
  <c r="J26" i="60"/>
  <c r="I26" i="60"/>
  <c r="H26" i="60"/>
  <c r="G26" i="60"/>
  <c r="D26" i="60"/>
  <c r="C26" i="60"/>
  <c r="F25" i="60"/>
  <c r="O24" i="60"/>
  <c r="F24" i="60"/>
  <c r="R24" i="60" s="1"/>
  <c r="S24" i="60" s="1"/>
  <c r="O23" i="60"/>
  <c r="F23" i="60"/>
  <c r="O22" i="60"/>
  <c r="F22" i="60"/>
  <c r="O21" i="60"/>
  <c r="F21" i="60"/>
  <c r="O20" i="60"/>
  <c r="F20" i="60"/>
  <c r="O19" i="60"/>
  <c r="F19" i="60"/>
  <c r="P17" i="60"/>
  <c r="N17" i="60"/>
  <c r="M17" i="60"/>
  <c r="L17" i="60"/>
  <c r="K17" i="60"/>
  <c r="J17" i="60"/>
  <c r="I17" i="60"/>
  <c r="H17" i="60"/>
  <c r="G17" i="60"/>
  <c r="D17" i="60"/>
  <c r="C17" i="60"/>
  <c r="U19" i="38" l="1"/>
  <c r="R22" i="60"/>
  <c r="S22" i="60" s="1"/>
  <c r="W33" i="35"/>
  <c r="X43" i="35"/>
  <c r="Y38" i="35"/>
  <c r="W32" i="35"/>
  <c r="Y32" i="35" s="1"/>
  <c r="X33" i="35"/>
  <c r="Y33" i="35" s="1"/>
  <c r="Y42" i="35"/>
  <c r="P20" i="56"/>
  <c r="Q20" i="56" s="1"/>
  <c r="Y36" i="35"/>
  <c r="W41" i="35"/>
  <c r="R21" i="60"/>
  <c r="S21" i="60" s="1"/>
  <c r="U21" i="60" s="1"/>
  <c r="Y35" i="35"/>
  <c r="V19" i="38"/>
  <c r="X19" i="38" s="1"/>
  <c r="Y24" i="31"/>
  <c r="Y30" i="35"/>
  <c r="W34" i="35"/>
  <c r="Y34" i="35" s="1"/>
  <c r="W37" i="35"/>
  <c r="Y37" i="35" s="1"/>
  <c r="X28" i="36"/>
  <c r="Y32" i="36"/>
  <c r="Y34" i="36"/>
  <c r="Y21" i="31"/>
  <c r="X25" i="31"/>
  <c r="Y20" i="38"/>
  <c r="S13" i="41"/>
  <c r="T13" i="41" s="1"/>
  <c r="T14" i="41" s="1"/>
  <c r="X41" i="35"/>
  <c r="Y26" i="36"/>
  <c r="Y29" i="36"/>
  <c r="P21" i="56"/>
  <c r="Q21" i="56" s="1"/>
  <c r="T21" i="56" s="1"/>
  <c r="R23" i="56"/>
  <c r="X23" i="31"/>
  <c r="Y23" i="31" s="1"/>
  <c r="W30" i="36"/>
  <c r="Y30" i="36" s="1"/>
  <c r="W28" i="36"/>
  <c r="W25" i="36"/>
  <c r="Y25" i="36" s="1"/>
  <c r="R20" i="60"/>
  <c r="S20" i="60" s="1"/>
  <c r="T20" i="60" s="1"/>
  <c r="R23" i="60"/>
  <c r="S23" i="60" s="1"/>
  <c r="U23" i="60" s="1"/>
  <c r="W37" i="36"/>
  <c r="Y37" i="36" s="1"/>
  <c r="P22" i="56"/>
  <c r="Q22" i="56" s="1"/>
  <c r="S22" i="56" s="1"/>
  <c r="Y39" i="35"/>
  <c r="X22" i="31"/>
  <c r="Y22" i="31" s="1"/>
  <c r="W27" i="36"/>
  <c r="Y27" i="36" s="1"/>
  <c r="W20" i="31"/>
  <c r="Y20" i="31" s="1"/>
  <c r="W25" i="31"/>
  <c r="P26" i="56"/>
  <c r="Q26" i="56" s="1"/>
  <c r="R26" i="56" s="1"/>
  <c r="T23" i="56"/>
  <c r="S38" i="36"/>
  <c r="Y35" i="36"/>
  <c r="R38" i="36"/>
  <c r="V31" i="36"/>
  <c r="X31" i="36" s="1"/>
  <c r="V33" i="36"/>
  <c r="S13" i="48"/>
  <c r="R14" i="48"/>
  <c r="R15" i="15"/>
  <c r="S14" i="15"/>
  <c r="U14" i="61"/>
  <c r="T15" i="61"/>
  <c r="S26" i="31"/>
  <c r="V19" i="31"/>
  <c r="V26" i="31" s="1"/>
  <c r="U26" i="31"/>
  <c r="T26" i="31"/>
  <c r="X21" i="38"/>
  <c r="W21" i="38"/>
  <c r="Y21" i="38" s="1"/>
  <c r="R22" i="38"/>
  <c r="V18" i="38"/>
  <c r="U18" i="38"/>
  <c r="T18" i="38"/>
  <c r="V17" i="38"/>
  <c r="S22" i="38"/>
  <c r="U17" i="38"/>
  <c r="T17" i="38"/>
  <c r="Y10" i="38"/>
  <c r="AA15" i="71"/>
  <c r="S14" i="71"/>
  <c r="R16" i="71"/>
  <c r="W43" i="35"/>
  <c r="Y43" i="35" s="1"/>
  <c r="S44" i="35"/>
  <c r="V28" i="35"/>
  <c r="V44" i="35" s="1"/>
  <c r="T28" i="35"/>
  <c r="T44" i="35" s="1"/>
  <c r="U28" i="35"/>
  <c r="U44" i="35" s="1"/>
  <c r="T24" i="56"/>
  <c r="S24" i="56"/>
  <c r="R24" i="56"/>
  <c r="H27" i="56"/>
  <c r="K27" i="56"/>
  <c r="T25" i="56"/>
  <c r="S25" i="56"/>
  <c r="R25" i="56"/>
  <c r="F26" i="60"/>
  <c r="U20" i="60"/>
  <c r="V21" i="60"/>
  <c r="V24" i="60"/>
  <c r="U24" i="60"/>
  <c r="T24" i="60"/>
  <c r="T22" i="60"/>
  <c r="V22" i="60"/>
  <c r="U22" i="60"/>
  <c r="Q19" i="60"/>
  <c r="O25" i="60"/>
  <c r="Q25" i="60"/>
  <c r="P18" i="62"/>
  <c r="N18" i="62"/>
  <c r="M18" i="62"/>
  <c r="L18" i="62"/>
  <c r="K18" i="62"/>
  <c r="J18" i="62"/>
  <c r="I18" i="62"/>
  <c r="D18" i="62"/>
  <c r="C18" i="62"/>
  <c r="O17" i="62"/>
  <c r="F17" i="62"/>
  <c r="O16" i="62"/>
  <c r="F16" i="62"/>
  <c r="O15" i="62"/>
  <c r="F15" i="62"/>
  <c r="Q15" i="62" s="1"/>
  <c r="W19" i="38" l="1"/>
  <c r="P27" i="56"/>
  <c r="X24" i="56"/>
  <c r="Y41" i="35"/>
  <c r="S14" i="41"/>
  <c r="X23" i="56"/>
  <c r="T21" i="60"/>
  <c r="X21" i="60" s="1"/>
  <c r="V38" i="36"/>
  <c r="Y28" i="36"/>
  <c r="O18" i="62"/>
  <c r="V20" i="60"/>
  <c r="X20" i="60" s="1"/>
  <c r="W24" i="56"/>
  <c r="Y24" i="56" s="1"/>
  <c r="Y25" i="31"/>
  <c r="Y19" i="38"/>
  <c r="S21" i="56"/>
  <c r="W17" i="38"/>
  <c r="T23" i="60"/>
  <c r="R21" i="56"/>
  <c r="X21" i="56" s="1"/>
  <c r="W25" i="56"/>
  <c r="W23" i="56"/>
  <c r="V23" i="60"/>
  <c r="X17" i="38"/>
  <c r="X19" i="31"/>
  <c r="X26" i="31" s="1"/>
  <c r="X18" i="38"/>
  <c r="W19" i="31"/>
  <c r="W31" i="36"/>
  <c r="Y31" i="36" s="1"/>
  <c r="R15" i="62"/>
  <c r="S15" i="62" s="1"/>
  <c r="T15" i="62" s="1"/>
  <c r="W22" i="60"/>
  <c r="T22" i="56"/>
  <c r="S26" i="56"/>
  <c r="W18" i="38"/>
  <c r="W33" i="36"/>
  <c r="X25" i="56"/>
  <c r="W20" i="60"/>
  <c r="X33" i="36"/>
  <c r="X38" i="36" s="1"/>
  <c r="R17" i="62"/>
  <c r="S17" i="62" s="1"/>
  <c r="T17" i="62" s="1"/>
  <c r="R22" i="56"/>
  <c r="T26" i="56"/>
  <c r="X26" i="56" s="1"/>
  <c r="X22" i="60"/>
  <c r="Z13" i="41"/>
  <c r="Z14" i="41" s="1"/>
  <c r="Y13" i="41"/>
  <c r="T14" i="48"/>
  <c r="S14" i="48"/>
  <c r="V13" i="48"/>
  <c r="V14" i="48" s="1"/>
  <c r="U14" i="48"/>
  <c r="V14" i="15"/>
  <c r="V15" i="15" s="1"/>
  <c r="U14" i="15"/>
  <c r="U15" i="15" s="1"/>
  <c r="S15" i="15"/>
  <c r="T14" i="15"/>
  <c r="T15" i="15" s="1"/>
  <c r="X14" i="61"/>
  <c r="X15" i="61" s="1"/>
  <c r="W14" i="61"/>
  <c r="W15" i="61" s="1"/>
  <c r="V14" i="61"/>
  <c r="V15" i="61" s="1"/>
  <c r="U15" i="61"/>
  <c r="U22" i="38"/>
  <c r="V22" i="38"/>
  <c r="T22" i="38"/>
  <c r="Y14" i="71"/>
  <c r="U16" i="71"/>
  <c r="T16" i="71"/>
  <c r="S16" i="71"/>
  <c r="V14" i="71"/>
  <c r="V16" i="71" s="1"/>
  <c r="X28" i="35"/>
  <c r="W28" i="35"/>
  <c r="X44" i="35"/>
  <c r="Y25" i="56"/>
  <c r="Q27" i="56"/>
  <c r="T20" i="56"/>
  <c r="S20" i="56"/>
  <c r="R20" i="56"/>
  <c r="X24" i="60"/>
  <c r="W24" i="60"/>
  <c r="Y24" i="60" s="1"/>
  <c r="R25" i="60"/>
  <c r="S25" i="60" s="1"/>
  <c r="U25" i="60" s="1"/>
  <c r="Q26" i="60"/>
  <c r="O26" i="60"/>
  <c r="R19" i="60"/>
  <c r="Q18" i="62"/>
  <c r="R16" i="62"/>
  <c r="S16" i="62" s="1"/>
  <c r="U17" i="62"/>
  <c r="H18" i="62"/>
  <c r="F18" i="62"/>
  <c r="Y18" i="38" l="1"/>
  <c r="X22" i="38"/>
  <c r="Y23" i="56"/>
  <c r="W21" i="60"/>
  <c r="Y21" i="60" s="1"/>
  <c r="Z14" i="71"/>
  <c r="Y20" i="60"/>
  <c r="X20" i="56"/>
  <c r="W26" i="56"/>
  <c r="Y26" i="56" s="1"/>
  <c r="X22" i="56"/>
  <c r="W23" i="60"/>
  <c r="U15" i="62"/>
  <c r="W15" i="62" s="1"/>
  <c r="V17" i="62"/>
  <c r="W17" i="62" s="1"/>
  <c r="X23" i="60"/>
  <c r="W21" i="56"/>
  <c r="Y21" i="56" s="1"/>
  <c r="W22" i="56"/>
  <c r="V15" i="62"/>
  <c r="S27" i="56"/>
  <c r="T27" i="56"/>
  <c r="Y22" i="60"/>
  <c r="Y13" i="48"/>
  <c r="T25" i="60"/>
  <c r="W20" i="56"/>
  <c r="Z13" i="48"/>
  <c r="Z14" i="48" s="1"/>
  <c r="V25" i="60"/>
  <c r="X15" i="62"/>
  <c r="R27" i="56"/>
  <c r="AA14" i="61"/>
  <c r="AB14" i="61"/>
  <c r="AB15" i="61" s="1"/>
  <c r="Y14" i="15"/>
  <c r="Y33" i="36"/>
  <c r="Y38" i="36" s="1"/>
  <c r="W38" i="36"/>
  <c r="Y14" i="41"/>
  <c r="AA13" i="41"/>
  <c r="AA14" i="41" s="1"/>
  <c r="Z14" i="15"/>
  <c r="Z15" i="15" s="1"/>
  <c r="Y19" i="31"/>
  <c r="Y26" i="31" s="1"/>
  <c r="W26" i="31"/>
  <c r="W22" i="38"/>
  <c r="Y17" i="38"/>
  <c r="Y22" i="38" s="1"/>
  <c r="Y16" i="71"/>
  <c r="Z16" i="71"/>
  <c r="AA14" i="71"/>
  <c r="AA16" i="71" s="1"/>
  <c r="Y28" i="35"/>
  <c r="Y44" i="35" s="1"/>
  <c r="W44" i="35"/>
  <c r="S19" i="60"/>
  <c r="R26" i="60"/>
  <c r="V16" i="62"/>
  <c r="T16" i="62"/>
  <c r="U16" i="62"/>
  <c r="R18" i="62"/>
  <c r="D37" i="22"/>
  <c r="C37" i="22"/>
  <c r="F36" i="22"/>
  <c r="R36" i="22" s="1"/>
  <c r="S36" i="22" s="1"/>
  <c r="O35" i="22"/>
  <c r="F35" i="22"/>
  <c r="O34" i="22"/>
  <c r="F34" i="22"/>
  <c r="Q34" i="22" s="1"/>
  <c r="O33" i="22"/>
  <c r="F33" i="22"/>
  <c r="Q33" i="22" s="1"/>
  <c r="O32" i="22"/>
  <c r="F32" i="22"/>
  <c r="R32" i="22" s="1"/>
  <c r="S32" i="22" s="1"/>
  <c r="O31" i="22"/>
  <c r="F31" i="22"/>
  <c r="O30" i="22"/>
  <c r="F30" i="22"/>
  <c r="Q30" i="22" s="1"/>
  <c r="R30" i="22" s="1"/>
  <c r="S30" i="22" s="1"/>
  <c r="F29" i="22"/>
  <c r="R29" i="22" s="1"/>
  <c r="S29" i="22" s="1"/>
  <c r="O28" i="22"/>
  <c r="F28" i="22"/>
  <c r="O27" i="22"/>
  <c r="F27" i="22"/>
  <c r="O26" i="22"/>
  <c r="F26" i="22"/>
  <c r="Q26" i="22" s="1"/>
  <c r="O25" i="22"/>
  <c r="F25" i="22"/>
  <c r="D38" i="57"/>
  <c r="D283" i="57" s="1"/>
  <c r="Y22" i="56" l="1"/>
  <c r="Y23" i="60"/>
  <c r="X17" i="62"/>
  <c r="Y17" i="62" s="1"/>
  <c r="AA13" i="48"/>
  <c r="AA14" i="48" s="1"/>
  <c r="Y14" i="48"/>
  <c r="X25" i="60"/>
  <c r="R35" i="22"/>
  <c r="S35" i="22" s="1"/>
  <c r="V35" i="22" s="1"/>
  <c r="W16" i="62"/>
  <c r="W25" i="60"/>
  <c r="W29" i="22"/>
  <c r="X29" i="22"/>
  <c r="R34" i="22"/>
  <c r="S34" i="22" s="1"/>
  <c r="V34" i="22" s="1"/>
  <c r="Y15" i="15"/>
  <c r="AA14" i="15"/>
  <c r="AA15" i="15" s="1"/>
  <c r="AA15" i="61"/>
  <c r="AC14" i="61"/>
  <c r="AC15" i="61" s="1"/>
  <c r="X27" i="56"/>
  <c r="W27" i="56"/>
  <c r="T19" i="60"/>
  <c r="T26" i="60" s="1"/>
  <c r="S26" i="60"/>
  <c r="V19" i="60"/>
  <c r="V26" i="60" s="1"/>
  <c r="U19" i="60"/>
  <c r="U26" i="60" s="1"/>
  <c r="X16" i="62"/>
  <c r="Y15" i="62"/>
  <c r="U18" i="62"/>
  <c r="V18" i="62"/>
  <c r="T18" i="62"/>
  <c r="S18" i="62"/>
  <c r="V36" i="22"/>
  <c r="R33" i="22"/>
  <c r="S33" i="22" s="1"/>
  <c r="V33" i="22" s="1"/>
  <c r="R26" i="22"/>
  <c r="S26" i="22" s="1"/>
  <c r="T26" i="22" s="1"/>
  <c r="F37" i="22"/>
  <c r="V30" i="22"/>
  <c r="U30" i="22"/>
  <c r="T30" i="22"/>
  <c r="O37" i="22"/>
  <c r="R25" i="22"/>
  <c r="T32" i="22"/>
  <c r="V32" i="22"/>
  <c r="U32" i="22"/>
  <c r="U36" i="22"/>
  <c r="T36" i="22"/>
  <c r="Q28" i="22"/>
  <c r="Q27" i="22"/>
  <c r="R27" i="22" s="1"/>
  <c r="S27" i="22" s="1"/>
  <c r="Q31" i="22"/>
  <c r="R31" i="22" s="1"/>
  <c r="S31" i="22" s="1"/>
  <c r="V42" i="73"/>
  <c r="U42" i="73"/>
  <c r="T42" i="73"/>
  <c r="O42" i="73"/>
  <c r="C42" i="73"/>
  <c r="L41" i="73"/>
  <c r="F41" i="73"/>
  <c r="F40" i="73"/>
  <c r="R40" i="73" s="1"/>
  <c r="S40" i="73" s="1"/>
  <c r="L39" i="73"/>
  <c r="F39" i="73"/>
  <c r="V37" i="73"/>
  <c r="U37" i="73"/>
  <c r="T37" i="73"/>
  <c r="O37" i="73"/>
  <c r="C37" i="73"/>
  <c r="F36" i="73"/>
  <c r="F35" i="73"/>
  <c r="Q35" i="73" s="1"/>
  <c r="R35" i="73" s="1"/>
  <c r="S35" i="73" s="1"/>
  <c r="F34" i="73"/>
  <c r="V32" i="73"/>
  <c r="U32" i="73"/>
  <c r="T32" i="73"/>
  <c r="O32" i="73"/>
  <c r="C32" i="73"/>
  <c r="L31" i="73"/>
  <c r="F31" i="73"/>
  <c r="Q31" i="73" s="1"/>
  <c r="R31" i="73" s="1"/>
  <c r="S31" i="73" s="1"/>
  <c r="L30" i="73"/>
  <c r="F30" i="73"/>
  <c r="R30" i="73" s="1"/>
  <c r="S30" i="73" s="1"/>
  <c r="L29" i="73"/>
  <c r="F29" i="73"/>
  <c r="C15" i="73"/>
  <c r="U35" i="22" l="1"/>
  <c r="T35" i="22"/>
  <c r="X35" i="22" s="1"/>
  <c r="Y35" i="22" s="1"/>
  <c r="X36" i="22"/>
  <c r="X32" i="22"/>
  <c r="F42" i="73"/>
  <c r="T33" i="22"/>
  <c r="X33" i="22" s="1"/>
  <c r="W35" i="22"/>
  <c r="Y29" i="22"/>
  <c r="Y16" i="62"/>
  <c r="Y25" i="60"/>
  <c r="U34" i="22"/>
  <c r="T34" i="22"/>
  <c r="X30" i="22"/>
  <c r="X34" i="22"/>
  <c r="W32" i="22"/>
  <c r="Y32" i="22" s="1"/>
  <c r="O43" i="73"/>
  <c r="C43" i="73"/>
  <c r="W36" i="22"/>
  <c r="Y36" i="22" s="1"/>
  <c r="V43" i="73"/>
  <c r="T43" i="73"/>
  <c r="U26" i="22"/>
  <c r="W30" i="22"/>
  <c r="Y30" i="22" s="1"/>
  <c r="W19" i="60"/>
  <c r="U43" i="73"/>
  <c r="X19" i="60"/>
  <c r="X26" i="60" s="1"/>
  <c r="Y20" i="56"/>
  <c r="Y27" i="56" s="1"/>
  <c r="X18" i="62"/>
  <c r="U33" i="22"/>
  <c r="Q37" i="22"/>
  <c r="V26" i="22"/>
  <c r="X26" i="22" s="1"/>
  <c r="S25" i="22"/>
  <c r="R28" i="22"/>
  <c r="S28" i="22" s="1"/>
  <c r="V27" i="22"/>
  <c r="U27" i="22"/>
  <c r="T27" i="22"/>
  <c r="V31" i="22"/>
  <c r="U31" i="22"/>
  <c r="T31" i="22"/>
  <c r="Q39" i="73"/>
  <c r="R39" i="73" s="1"/>
  <c r="Q36" i="73"/>
  <c r="R36" i="73" s="1"/>
  <c r="S36" i="73" s="1"/>
  <c r="F32" i="73"/>
  <c r="Y31" i="73"/>
  <c r="W31" i="73"/>
  <c r="Y30" i="73"/>
  <c r="W30" i="73"/>
  <c r="W35" i="73"/>
  <c r="X35" i="73" s="1"/>
  <c r="AA35" i="73" s="1"/>
  <c r="Y35" i="73"/>
  <c r="W40" i="73"/>
  <c r="X40" i="73" s="1"/>
  <c r="Y40" i="73"/>
  <c r="Q41" i="73"/>
  <c r="R41" i="73" s="1"/>
  <c r="S41" i="73" s="1"/>
  <c r="Q29" i="73"/>
  <c r="Q32" i="73" s="1"/>
  <c r="Q34" i="73"/>
  <c r="F37" i="73"/>
  <c r="W34" i="22" l="1"/>
  <c r="Y34" i="22" s="1"/>
  <c r="X31" i="22"/>
  <c r="W26" i="22"/>
  <c r="Y26" i="22" s="1"/>
  <c r="R29" i="73"/>
  <c r="R32" i="73" s="1"/>
  <c r="Q37" i="73"/>
  <c r="X27" i="22"/>
  <c r="X28" i="22"/>
  <c r="W28" i="22"/>
  <c r="W33" i="22"/>
  <c r="Y33" i="22" s="1"/>
  <c r="W27" i="22"/>
  <c r="W31" i="22"/>
  <c r="Y31" i="22" s="1"/>
  <c r="Z35" i="73"/>
  <c r="AB35" i="73" s="1"/>
  <c r="Q42" i="73"/>
  <c r="Q43" i="73" s="1"/>
  <c r="Y19" i="60"/>
  <c r="Y26" i="60" s="1"/>
  <c r="W26" i="60"/>
  <c r="W18" i="62"/>
  <c r="Y18" i="62"/>
  <c r="V25" i="22"/>
  <c r="V37" i="22" s="1"/>
  <c r="S37" i="22"/>
  <c r="U25" i="22"/>
  <c r="U37" i="22" s="1"/>
  <c r="T25" i="22"/>
  <c r="T37" i="22" s="1"/>
  <c r="R37" i="22"/>
  <c r="Z40" i="73"/>
  <c r="AA40" i="73"/>
  <c r="Y36" i="73"/>
  <c r="W36" i="73"/>
  <c r="X36" i="73" s="1"/>
  <c r="AA36" i="73" s="1"/>
  <c r="X30" i="73"/>
  <c r="AA30" i="73" s="1"/>
  <c r="F43" i="73"/>
  <c r="R42" i="73"/>
  <c r="S39" i="73"/>
  <c r="R34" i="73"/>
  <c r="X31" i="73"/>
  <c r="Y41" i="73"/>
  <c r="W41" i="73"/>
  <c r="X41" i="73" s="1"/>
  <c r="S29" i="73"/>
  <c r="Y28" i="22" l="1"/>
  <c r="Y27" i="22"/>
  <c r="Z36" i="73"/>
  <c r="AB36" i="73" s="1"/>
  <c r="W25" i="22"/>
  <c r="X25" i="22"/>
  <c r="AB40" i="73"/>
  <c r="X37" i="22"/>
  <c r="Z41" i="73"/>
  <c r="AA41" i="73"/>
  <c r="Z31" i="73"/>
  <c r="AA31" i="73"/>
  <c r="Z30" i="73"/>
  <c r="AB30" i="73" s="1"/>
  <c r="S32" i="73"/>
  <c r="Y29" i="73"/>
  <c r="Y32" i="73" s="1"/>
  <c r="W29" i="73"/>
  <c r="W32" i="73" s="1"/>
  <c r="W39" i="73"/>
  <c r="W42" i="73" s="1"/>
  <c r="Y39" i="73"/>
  <c r="Y42" i="73" s="1"/>
  <c r="S42" i="73"/>
  <c r="R37" i="73"/>
  <c r="R43" i="73" s="1"/>
  <c r="S34" i="73"/>
  <c r="AB41" i="73" l="1"/>
  <c r="W37" i="22"/>
  <c r="Y25" i="22"/>
  <c r="Y37" i="22" s="1"/>
  <c r="X39" i="73"/>
  <c r="AB31" i="73"/>
  <c r="X29" i="73"/>
  <c r="AA29" i="73" s="1"/>
  <c r="S37" i="73"/>
  <c r="S43" i="73" s="1"/>
  <c r="Y34" i="73"/>
  <c r="Y37" i="73" s="1"/>
  <c r="Y43" i="73" s="1"/>
  <c r="W34" i="73"/>
  <c r="W37" i="73" s="1"/>
  <c r="W43" i="73" s="1"/>
  <c r="X34" i="73" l="1"/>
  <c r="X37" i="73" s="1"/>
  <c r="X42" i="73"/>
  <c r="AA39" i="73"/>
  <c r="AA42" i="73" s="1"/>
  <c r="Z39" i="73"/>
  <c r="AB39" i="73" s="1"/>
  <c r="AB42" i="73" s="1"/>
  <c r="Z34" i="73"/>
  <c r="AA34" i="73"/>
  <c r="AA37" i="73" s="1"/>
  <c r="Z29" i="73"/>
  <c r="X32" i="73"/>
  <c r="X43" i="73" s="1"/>
  <c r="AA32" i="73"/>
  <c r="Z42" i="73" l="1"/>
  <c r="AA43" i="73"/>
  <c r="Z37" i="73"/>
  <c r="AB34" i="73"/>
  <c r="AB37" i="73" s="1"/>
  <c r="AB29" i="73"/>
  <c r="AB32" i="73" s="1"/>
  <c r="Z32" i="73"/>
  <c r="AB43" i="73" l="1"/>
  <c r="Z43" i="73"/>
  <c r="W22" i="72"/>
  <c r="O22" i="72"/>
  <c r="K22" i="72"/>
  <c r="J22" i="72"/>
  <c r="H22" i="72"/>
  <c r="C22" i="72"/>
  <c r="M21" i="72"/>
  <c r="F21" i="72"/>
  <c r="R21" i="72" s="1"/>
  <c r="S21" i="72" s="1"/>
  <c r="M20" i="72"/>
  <c r="F20" i="72"/>
  <c r="M19" i="72"/>
  <c r="F19" i="72"/>
  <c r="R19" i="72" s="1"/>
  <c r="S19" i="72" s="1"/>
  <c r="F18" i="72"/>
  <c r="R18" i="72" s="1"/>
  <c r="S18" i="72" s="1"/>
  <c r="F17" i="72"/>
  <c r="R17" i="72" s="1"/>
  <c r="S17" i="72" s="1"/>
  <c r="M16" i="72"/>
  <c r="F16" i="72"/>
  <c r="R16" i="72" s="1"/>
  <c r="S16" i="72" s="1"/>
  <c r="F15" i="72"/>
  <c r="R15" i="72" s="1"/>
  <c r="S15" i="72" s="1"/>
  <c r="F14" i="72"/>
  <c r="R14" i="72" s="1"/>
  <c r="S14" i="72" s="1"/>
  <c r="M13" i="72"/>
  <c r="F13" i="72"/>
  <c r="M12" i="72"/>
  <c r="F12" i="72"/>
  <c r="M11" i="72"/>
  <c r="F11" i="72"/>
  <c r="R12" i="72" l="1"/>
  <c r="S12" i="72" s="1"/>
  <c r="R20" i="72"/>
  <c r="S20" i="72" s="1"/>
  <c r="R11" i="72"/>
  <c r="R13" i="72"/>
  <c r="S13" i="72" s="1"/>
  <c r="V13" i="72" s="1"/>
  <c r="V16" i="72"/>
  <c r="U16" i="72"/>
  <c r="T16" i="72"/>
  <c r="T20" i="72"/>
  <c r="V17" i="72"/>
  <c r="U17" i="72"/>
  <c r="T17" i="72"/>
  <c r="Y17" i="72" s="1"/>
  <c r="S11" i="72"/>
  <c r="V14" i="72"/>
  <c r="U14" i="72"/>
  <c r="T14" i="72"/>
  <c r="Y14" i="72" s="1"/>
  <c r="V12" i="72"/>
  <c r="T15" i="72"/>
  <c r="Y15" i="72" s="1"/>
  <c r="U15" i="72"/>
  <c r="V18" i="72"/>
  <c r="U18" i="72"/>
  <c r="T18" i="72"/>
  <c r="Y18" i="72" s="1"/>
  <c r="V19" i="72"/>
  <c r="U19" i="72"/>
  <c r="T19" i="72"/>
  <c r="Y19" i="72" s="1"/>
  <c r="V21" i="72"/>
  <c r="T21" i="72"/>
  <c r="U21" i="72"/>
  <c r="M22" i="72"/>
  <c r="U13" i="72" l="1"/>
  <c r="Y21" i="72"/>
  <c r="Y16" i="72"/>
  <c r="X19" i="72"/>
  <c r="Z19" i="72" s="1"/>
  <c r="X14" i="72"/>
  <c r="Z14" i="72" s="1"/>
  <c r="X16" i="72"/>
  <c r="Z16" i="72" s="1"/>
  <c r="X18" i="72"/>
  <c r="Z18" i="72" s="1"/>
  <c r="X21" i="72"/>
  <c r="Z21" i="72" s="1"/>
  <c r="X17" i="72"/>
  <c r="Z17" i="72"/>
  <c r="X15" i="72"/>
  <c r="Z15" i="72" s="1"/>
  <c r="V20" i="72"/>
  <c r="X20" i="72" s="1"/>
  <c r="T13" i="72"/>
  <c r="Y13" i="72" s="1"/>
  <c r="X13" i="72"/>
  <c r="U12" i="72"/>
  <c r="T12" i="72"/>
  <c r="X12" i="72" s="1"/>
  <c r="R22" i="72"/>
  <c r="U20" i="72"/>
  <c r="U11" i="72"/>
  <c r="T11" i="72"/>
  <c r="V11" i="72"/>
  <c r="S22" i="72"/>
  <c r="Y12" i="72" l="1"/>
  <c r="Z12" i="72"/>
  <c r="V22" i="72"/>
  <c r="T22" i="72"/>
  <c r="Z13" i="72"/>
  <c r="Y20" i="72"/>
  <c r="Z20" i="72" s="1"/>
  <c r="U22" i="72"/>
  <c r="X11" i="72"/>
  <c r="Y11" i="72"/>
  <c r="Y22" i="72" l="1"/>
  <c r="X22" i="72"/>
  <c r="Z11" i="72"/>
  <c r="Z22" i="72" s="1"/>
  <c r="C35" i="72" l="1"/>
  <c r="E33" i="58"/>
  <c r="X12" i="54"/>
  <c r="L12" i="54"/>
  <c r="K12" i="54"/>
  <c r="J12" i="54"/>
  <c r="I12" i="54"/>
  <c r="D12" i="54"/>
  <c r="C12" i="54"/>
  <c r="F11" i="54"/>
  <c r="O11" i="54" s="1"/>
  <c r="F10" i="54"/>
  <c r="O10" i="54" s="1"/>
  <c r="M62" i="1"/>
  <c r="M58" i="1"/>
  <c r="M50" i="1"/>
  <c r="M43" i="1"/>
  <c r="M36" i="1"/>
  <c r="M33" i="1"/>
  <c r="M24" i="1"/>
  <c r="M23" i="1"/>
  <c r="M22" i="1"/>
  <c r="M21" i="1"/>
  <c r="M18" i="1"/>
  <c r="M17" i="1"/>
  <c r="M14" i="1"/>
  <c r="M12" i="1"/>
  <c r="L63" i="1"/>
  <c r="L42" i="1"/>
  <c r="L39" i="1"/>
  <c r="L37" i="1"/>
  <c r="L35" i="1" s="1"/>
  <c r="L34" i="1"/>
  <c r="L32" i="1"/>
  <c r="L31" i="1"/>
  <c r="L30" i="1"/>
  <c r="L29" i="1"/>
  <c r="L20" i="1"/>
  <c r="L16" i="1"/>
  <c r="L15" i="1"/>
  <c r="I63" i="1"/>
  <c r="H63" i="1"/>
  <c r="F63" i="1"/>
  <c r="E63" i="1"/>
  <c r="K61" i="1"/>
  <c r="M61" i="1" s="1"/>
  <c r="J61" i="1"/>
  <c r="K60" i="1"/>
  <c r="M60" i="1" s="1"/>
  <c r="J60" i="1"/>
  <c r="G60" i="1"/>
  <c r="K57" i="1"/>
  <c r="J57" i="1"/>
  <c r="G57" i="1"/>
  <c r="G51" i="1"/>
  <c r="K42" i="1"/>
  <c r="J42" i="1"/>
  <c r="K41" i="1"/>
  <c r="M41" i="1" s="1"/>
  <c r="J41" i="1"/>
  <c r="K40" i="1"/>
  <c r="M40" i="1" s="1"/>
  <c r="J40" i="1"/>
  <c r="K37" i="1"/>
  <c r="K35" i="1" s="1"/>
  <c r="J37" i="1"/>
  <c r="J35" i="1" s="1"/>
  <c r="G35" i="1"/>
  <c r="K34" i="1"/>
  <c r="J34" i="1"/>
  <c r="G33" i="1"/>
  <c r="F33" i="1"/>
  <c r="K32" i="1"/>
  <c r="J32" i="1"/>
  <c r="H32" i="1"/>
  <c r="E32" i="1"/>
  <c r="K31" i="1"/>
  <c r="J31" i="1"/>
  <c r="H31" i="1"/>
  <c r="E31" i="1"/>
  <c r="K30" i="1"/>
  <c r="J30" i="1"/>
  <c r="H30" i="1"/>
  <c r="G30" i="1"/>
  <c r="G28" i="1" s="1"/>
  <c r="F30" i="1"/>
  <c r="F28" i="1" s="1"/>
  <c r="E30" i="1"/>
  <c r="K29" i="1"/>
  <c r="J29" i="1"/>
  <c r="H29" i="1"/>
  <c r="E29" i="1"/>
  <c r="I28" i="1"/>
  <c r="I54" i="1" s="1"/>
  <c r="I26" i="1"/>
  <c r="K20" i="1"/>
  <c r="J20" i="1"/>
  <c r="K19" i="1"/>
  <c r="J19" i="1"/>
  <c r="H19" i="1"/>
  <c r="H26" i="1" s="1"/>
  <c r="G19" i="1"/>
  <c r="G26" i="1" s="1"/>
  <c r="F19" i="1"/>
  <c r="F26" i="1" s="1"/>
  <c r="E19" i="1"/>
  <c r="E26" i="1" s="1"/>
  <c r="K16" i="1"/>
  <c r="J16" i="1"/>
  <c r="I15" i="1"/>
  <c r="G15" i="1"/>
  <c r="F15" i="1"/>
  <c r="H14" i="1"/>
  <c r="E14" i="1"/>
  <c r="K9" i="1"/>
  <c r="M9" i="1" s="1"/>
  <c r="J9" i="1"/>
  <c r="J15" i="1" s="1"/>
  <c r="H9" i="1"/>
  <c r="E9" i="1"/>
  <c r="M15" i="1" l="1"/>
  <c r="I27" i="1"/>
  <c r="I55" i="1" s="1"/>
  <c r="I67" i="1" s="1"/>
  <c r="M34" i="1"/>
  <c r="M29" i="1"/>
  <c r="M31" i="1"/>
  <c r="M20" i="1"/>
  <c r="M42" i="1"/>
  <c r="M16" i="1"/>
  <c r="K39" i="1"/>
  <c r="L28" i="1"/>
  <c r="L54" i="1" s="1"/>
  <c r="J28" i="1"/>
  <c r="J39" i="1"/>
  <c r="M32" i="1"/>
  <c r="M30" i="1"/>
  <c r="M37" i="1"/>
  <c r="M57" i="1"/>
  <c r="F27" i="1"/>
  <c r="K63" i="1"/>
  <c r="L26" i="1"/>
  <c r="L27" i="1" s="1"/>
  <c r="H15" i="1"/>
  <c r="H27" i="1" s="1"/>
  <c r="M19" i="1"/>
  <c r="Q10" i="54"/>
  <c r="Q11" i="54"/>
  <c r="Q12" i="54" s="1"/>
  <c r="F12" i="54"/>
  <c r="H10" i="54"/>
  <c r="O12" i="54"/>
  <c r="M10" i="54"/>
  <c r="M11" i="54"/>
  <c r="G54" i="1"/>
  <c r="H28" i="1"/>
  <c r="H54" i="1" s="1"/>
  <c r="G27" i="1"/>
  <c r="F54" i="1"/>
  <c r="G63" i="1"/>
  <c r="E15" i="1"/>
  <c r="E27" i="1" s="1"/>
  <c r="J26" i="1"/>
  <c r="J27" i="1" s="1"/>
  <c r="E28" i="1"/>
  <c r="E54" i="1" s="1"/>
  <c r="J63" i="1"/>
  <c r="M35" i="1"/>
  <c r="K15" i="1"/>
  <c r="K26" i="1"/>
  <c r="K28" i="1"/>
  <c r="M12" i="54" l="1"/>
  <c r="M26" i="1"/>
  <c r="M39" i="1"/>
  <c r="K27" i="1"/>
  <c r="J54" i="1"/>
  <c r="J55" i="1" s="1"/>
  <c r="J67" i="1" s="1"/>
  <c r="K54" i="1"/>
  <c r="K55" i="1" s="1"/>
  <c r="K67" i="1" s="1"/>
  <c r="R11" i="54"/>
  <c r="S11" i="54" s="1"/>
  <c r="V11" i="54" s="1"/>
  <c r="Z11" i="54" s="1"/>
  <c r="G55" i="1"/>
  <c r="G67" i="1" s="1"/>
  <c r="E55" i="1"/>
  <c r="E67" i="1" s="1"/>
  <c r="L55" i="1"/>
  <c r="L67" i="1" s="1"/>
  <c r="F55" i="1"/>
  <c r="F67" i="1" s="1"/>
  <c r="H55" i="1"/>
  <c r="H67" i="1" s="1"/>
  <c r="H12" i="54"/>
  <c r="R10" i="54"/>
  <c r="S10" i="54" s="1"/>
  <c r="M27" i="1"/>
  <c r="M63" i="1"/>
  <c r="M28" i="1"/>
  <c r="M54" i="1" l="1"/>
  <c r="M55" i="1" s="1"/>
  <c r="M67" i="1" s="1"/>
  <c r="Y11" i="54"/>
  <c r="V10" i="54"/>
  <c r="Y10" i="54" s="1"/>
  <c r="R12" i="54"/>
  <c r="Z10" i="54" l="1"/>
  <c r="AA11" i="54"/>
  <c r="V12" i="54"/>
  <c r="S12" i="54"/>
  <c r="U12" i="54"/>
  <c r="T12" i="54"/>
  <c r="AA10" i="54" l="1"/>
  <c r="Z12" i="54"/>
  <c r="Y12" i="54" l="1"/>
  <c r="AA12" i="54"/>
  <c r="K7" i="80" l="1"/>
  <c r="K17" i="80"/>
  <c r="P17" i="80" s="1"/>
  <c r="G15" i="77"/>
  <c r="M15" i="77"/>
  <c r="P34" i="80"/>
  <c r="P8" i="80"/>
  <c r="P9" i="80"/>
  <c r="P10" i="80"/>
  <c r="P11" i="80"/>
  <c r="P12" i="80"/>
  <c r="P15" i="80"/>
  <c r="P16" i="80"/>
  <c r="P19" i="80"/>
  <c r="P20" i="80"/>
  <c r="P21" i="80"/>
  <c r="P22" i="80"/>
  <c r="P23" i="80"/>
  <c r="P31" i="80"/>
  <c r="P36" i="80"/>
  <c r="P41" i="80"/>
  <c r="P42" i="80"/>
  <c r="P43" i="80"/>
  <c r="P44" i="80"/>
  <c r="P45" i="80"/>
  <c r="P46" i="80"/>
  <c r="P47" i="80"/>
  <c r="P48" i="80"/>
  <c r="P49" i="80"/>
  <c r="P50" i="80"/>
  <c r="P51" i="80"/>
  <c r="P54" i="80"/>
  <c r="P56" i="80"/>
  <c r="P57" i="80"/>
  <c r="P60" i="80"/>
  <c r="P62" i="80"/>
  <c r="P63" i="80"/>
  <c r="P64" i="80"/>
  <c r="K59" i="80"/>
  <c r="K58" i="80"/>
  <c r="K55" i="80"/>
  <c r="K40" i="80"/>
  <c r="K39" i="80"/>
  <c r="K38" i="80"/>
  <c r="P38" i="80" s="1"/>
  <c r="K35" i="80"/>
  <c r="K33" i="80" s="1"/>
  <c r="K32" i="80"/>
  <c r="P32" i="80" s="1"/>
  <c r="K30" i="80"/>
  <c r="K29" i="80"/>
  <c r="K28" i="80"/>
  <c r="K27" i="80"/>
  <c r="P27" i="80" s="1"/>
  <c r="K18" i="80"/>
  <c r="P18" i="80" s="1"/>
  <c r="K14" i="80"/>
  <c r="K13" i="80"/>
  <c r="U11" i="41"/>
  <c r="V11" i="41"/>
  <c r="W11" i="41"/>
  <c r="X11" i="41"/>
  <c r="K37" i="80" l="1"/>
  <c r="K26" i="80"/>
  <c r="K24" i="80"/>
  <c r="K25" i="80" s="1"/>
  <c r="K61" i="80"/>
  <c r="P55" i="80"/>
  <c r="P14" i="80"/>
  <c r="P7" i="80"/>
  <c r="K52" i="80"/>
  <c r="W35" i="72"/>
  <c r="V18" i="56"/>
  <c r="U18" i="56"/>
  <c r="O18" i="56"/>
  <c r="D18" i="56"/>
  <c r="K53" i="80" l="1"/>
  <c r="K65" i="80" s="1"/>
  <c r="X12" i="15"/>
  <c r="W12" i="15"/>
  <c r="P12" i="15"/>
  <c r="O12" i="15"/>
  <c r="K12" i="15"/>
  <c r="J12" i="15"/>
  <c r="I12" i="15"/>
  <c r="H12" i="15"/>
  <c r="D12" i="15"/>
  <c r="C12" i="15"/>
  <c r="Z12" i="61" l="1"/>
  <c r="Y12" i="61"/>
  <c r="R12" i="61"/>
  <c r="Q12" i="61"/>
  <c r="K12" i="61"/>
  <c r="I12" i="61"/>
  <c r="D12" i="61"/>
  <c r="C12" i="61"/>
  <c r="F11" i="61"/>
  <c r="F12" i="61" l="1"/>
  <c r="H11" i="61"/>
  <c r="S11" i="61"/>
  <c r="O11" i="61"/>
  <c r="O12" i="61" l="1"/>
  <c r="T11" i="61"/>
  <c r="S12" i="61"/>
  <c r="H12" i="61"/>
  <c r="U11" i="61" l="1"/>
  <c r="T12" i="61"/>
  <c r="W11" i="61"/>
  <c r="W12" i="61" s="1"/>
  <c r="V11" i="61"/>
  <c r="U12" i="61"/>
  <c r="F11" i="35"/>
  <c r="F12" i="35"/>
  <c r="F13" i="35"/>
  <c r="F14" i="35"/>
  <c r="F15" i="35"/>
  <c r="F16" i="35"/>
  <c r="F17" i="35"/>
  <c r="F18" i="35"/>
  <c r="F19" i="35"/>
  <c r="F20" i="35"/>
  <c r="F21" i="35"/>
  <c r="F22" i="35"/>
  <c r="R22" i="35" s="1"/>
  <c r="S22" i="35" s="1"/>
  <c r="F23" i="35"/>
  <c r="F24" i="35"/>
  <c r="F25" i="35"/>
  <c r="X11" i="61" l="1"/>
  <c r="X12" i="61" s="1"/>
  <c r="AB11" i="61"/>
  <c r="AA11" i="61"/>
  <c r="V12" i="61"/>
  <c r="T22" i="35"/>
  <c r="U22" i="35"/>
  <c r="V22" i="35"/>
  <c r="X22" i="35" l="1"/>
  <c r="W22" i="35"/>
  <c r="AB12" i="61"/>
  <c r="AC11" i="61"/>
  <c r="AA12" i="61"/>
  <c r="Y22" i="35"/>
  <c r="N61" i="80"/>
  <c r="L61" i="80"/>
  <c r="I61" i="80"/>
  <c r="H61" i="80"/>
  <c r="F61" i="80"/>
  <c r="E61" i="80"/>
  <c r="O59" i="80"/>
  <c r="M59" i="80"/>
  <c r="J59" i="80"/>
  <c r="O58" i="80"/>
  <c r="M58" i="80"/>
  <c r="J58" i="80"/>
  <c r="P58" i="80" s="1"/>
  <c r="G58" i="80"/>
  <c r="G55" i="80"/>
  <c r="G49" i="80"/>
  <c r="O40" i="80"/>
  <c r="M40" i="80"/>
  <c r="J40" i="80"/>
  <c r="P40" i="80" s="1"/>
  <c r="O39" i="80"/>
  <c r="O37" i="80" s="1"/>
  <c r="M39" i="80"/>
  <c r="M37" i="80" s="1"/>
  <c r="J39" i="80"/>
  <c r="O35" i="80"/>
  <c r="O33" i="80" s="1"/>
  <c r="M35" i="80"/>
  <c r="M33" i="80" s="1"/>
  <c r="J35" i="80"/>
  <c r="G33" i="80"/>
  <c r="G31" i="80"/>
  <c r="F31" i="80"/>
  <c r="O30" i="80"/>
  <c r="M30" i="80"/>
  <c r="J30" i="80"/>
  <c r="P30" i="80" s="1"/>
  <c r="H30" i="80"/>
  <c r="E30" i="80"/>
  <c r="O29" i="80"/>
  <c r="M29" i="80"/>
  <c r="J29" i="80"/>
  <c r="H29" i="80"/>
  <c r="E29" i="80"/>
  <c r="O28" i="80"/>
  <c r="M28" i="80"/>
  <c r="J28" i="80"/>
  <c r="P28" i="80" s="1"/>
  <c r="H28" i="80"/>
  <c r="G28" i="80"/>
  <c r="G26" i="80" s="1"/>
  <c r="F28" i="80"/>
  <c r="F26" i="80" s="1"/>
  <c r="E28" i="80"/>
  <c r="H27" i="80"/>
  <c r="E27" i="80"/>
  <c r="N26" i="80"/>
  <c r="N52" i="80" s="1"/>
  <c r="L26" i="80"/>
  <c r="L52" i="80" s="1"/>
  <c r="I26" i="80"/>
  <c r="I52" i="80" s="1"/>
  <c r="O24" i="80"/>
  <c r="N24" i="80"/>
  <c r="M24" i="80"/>
  <c r="L24" i="80"/>
  <c r="J24" i="80"/>
  <c r="P24" i="80" s="1"/>
  <c r="I24" i="80"/>
  <c r="H17" i="80"/>
  <c r="H24" i="80" s="1"/>
  <c r="G17" i="80"/>
  <c r="G24" i="80" s="1"/>
  <c r="F17" i="80"/>
  <c r="F24" i="80" s="1"/>
  <c r="E17" i="80"/>
  <c r="E24" i="80" s="1"/>
  <c r="O13" i="80"/>
  <c r="N13" i="80"/>
  <c r="M13" i="80"/>
  <c r="L13" i="80"/>
  <c r="J13" i="80"/>
  <c r="P13" i="80" s="1"/>
  <c r="I13" i="80"/>
  <c r="G13" i="80"/>
  <c r="F13" i="80"/>
  <c r="H12" i="80"/>
  <c r="E12" i="80"/>
  <c r="H7" i="80"/>
  <c r="E7" i="80"/>
  <c r="E13" i="80" s="1"/>
  <c r="O61" i="80" l="1"/>
  <c r="G61" i="80"/>
  <c r="AC12" i="61"/>
  <c r="F52" i="80"/>
  <c r="H13" i="80"/>
  <c r="H25" i="80" s="1"/>
  <c r="M26" i="80"/>
  <c r="M52" i="80" s="1"/>
  <c r="M53" i="80" s="1"/>
  <c r="M65" i="80" s="1"/>
  <c r="P35" i="80"/>
  <c r="J33" i="80"/>
  <c r="P33" i="80" s="1"/>
  <c r="N25" i="80"/>
  <c r="N53" i="80" s="1"/>
  <c r="N65" i="80" s="1"/>
  <c r="M61" i="80"/>
  <c r="M25" i="80"/>
  <c r="O26" i="80"/>
  <c r="O52" i="80" s="1"/>
  <c r="J61" i="80"/>
  <c r="P61" i="80" s="1"/>
  <c r="P59" i="80"/>
  <c r="L25" i="80"/>
  <c r="L53" i="80" s="1"/>
  <c r="L65" i="80" s="1"/>
  <c r="J37" i="80"/>
  <c r="P37" i="80" s="1"/>
  <c r="P39" i="80"/>
  <c r="H26" i="80"/>
  <c r="H52" i="80" s="1"/>
  <c r="J26" i="80"/>
  <c r="P29" i="80"/>
  <c r="I25" i="80"/>
  <c r="I53" i="80" s="1"/>
  <c r="I65" i="80" s="1"/>
  <c r="E26" i="80"/>
  <c r="E52" i="80" s="1"/>
  <c r="O25" i="80"/>
  <c r="G52" i="80"/>
  <c r="J25" i="80"/>
  <c r="P25" i="80" s="1"/>
  <c r="F25" i="80"/>
  <c r="E25" i="80"/>
  <c r="G25" i="80"/>
  <c r="F53" i="80"/>
  <c r="F65" i="80" s="1"/>
  <c r="O53" i="80" l="1"/>
  <c r="O65" i="80" s="1"/>
  <c r="H53" i="80"/>
  <c r="H65" i="80" s="1"/>
  <c r="E53" i="80"/>
  <c r="E65" i="80" s="1"/>
  <c r="J52" i="80"/>
  <c r="P26" i="80"/>
  <c r="G53" i="80"/>
  <c r="G65" i="80" s="1"/>
  <c r="G12" i="79"/>
  <c r="G66" i="79" s="1"/>
  <c r="N77" i="79"/>
  <c r="G77" i="79"/>
  <c r="C68" i="79"/>
  <c r="M60" i="79"/>
  <c r="L60" i="79"/>
  <c r="K60" i="79"/>
  <c r="J60" i="79"/>
  <c r="I60" i="79"/>
  <c r="H60" i="79"/>
  <c r="F60" i="79"/>
  <c r="E60" i="79"/>
  <c r="D60" i="79"/>
  <c r="G19" i="79"/>
  <c r="P52" i="80" l="1"/>
  <c r="J53" i="80"/>
  <c r="C70" i="79"/>
  <c r="G72" i="79" s="1"/>
  <c r="G60" i="79"/>
  <c r="M61" i="79" s="1"/>
  <c r="P53" i="80" l="1"/>
  <c r="J65" i="80"/>
  <c r="P65" i="80" s="1"/>
  <c r="L15" i="77" l="1"/>
  <c r="K15" i="77"/>
  <c r="J15" i="77"/>
  <c r="I15" i="77"/>
  <c r="H15" i="77"/>
  <c r="F15" i="77"/>
  <c r="E15" i="77"/>
  <c r="D15" i="77"/>
  <c r="M16" i="77" l="1"/>
  <c r="F14" i="36" l="1"/>
  <c r="T25" i="73" l="1"/>
  <c r="U25" i="73"/>
  <c r="V25" i="73"/>
  <c r="T20" i="73"/>
  <c r="U20" i="73"/>
  <c r="V20" i="73"/>
  <c r="T15" i="73"/>
  <c r="U15" i="73"/>
  <c r="V15" i="73"/>
  <c r="O25" i="73"/>
  <c r="C25" i="73"/>
  <c r="L24" i="73"/>
  <c r="F24" i="73"/>
  <c r="F23" i="73"/>
  <c r="R23" i="73" s="1"/>
  <c r="S23" i="73" s="1"/>
  <c r="L22" i="73"/>
  <c r="F22" i="73"/>
  <c r="Q22" i="73" s="1"/>
  <c r="O20" i="73"/>
  <c r="C20" i="73"/>
  <c r="F19" i="73"/>
  <c r="F18" i="73"/>
  <c r="F17" i="73"/>
  <c r="Q17" i="73" s="1"/>
  <c r="R17" i="73" s="1"/>
  <c r="S17" i="73" s="1"/>
  <c r="O15" i="73"/>
  <c r="L14" i="73"/>
  <c r="F14" i="73"/>
  <c r="Q14" i="73" s="1"/>
  <c r="L13" i="73"/>
  <c r="F13" i="73"/>
  <c r="R13" i="73" s="1"/>
  <c r="S13" i="73" s="1"/>
  <c r="L12" i="73"/>
  <c r="F12" i="73"/>
  <c r="K35" i="72"/>
  <c r="J35" i="72"/>
  <c r="M34" i="72"/>
  <c r="F34" i="72"/>
  <c r="M33" i="72"/>
  <c r="F33" i="72"/>
  <c r="M32" i="72"/>
  <c r="F32" i="72"/>
  <c r="F31" i="72"/>
  <c r="F30" i="72"/>
  <c r="M29" i="72"/>
  <c r="F29" i="72"/>
  <c r="F28" i="72"/>
  <c r="F27" i="72"/>
  <c r="M26" i="72"/>
  <c r="F26" i="72"/>
  <c r="M25" i="72"/>
  <c r="F25" i="72"/>
  <c r="M24" i="72"/>
  <c r="F24" i="72"/>
  <c r="C26" i="73" l="1"/>
  <c r="O26" i="73"/>
  <c r="V26" i="73"/>
  <c r="U26" i="73"/>
  <c r="T26" i="73"/>
  <c r="Y17" i="73"/>
  <c r="W17" i="73"/>
  <c r="X17" i="73" s="1"/>
  <c r="AA17" i="73" s="1"/>
  <c r="Y13" i="73"/>
  <c r="W13" i="73"/>
  <c r="X13" i="73" s="1"/>
  <c r="AA13" i="73" s="1"/>
  <c r="Y23" i="73"/>
  <c r="W23" i="73"/>
  <c r="X23" i="73" s="1"/>
  <c r="AA23" i="73" s="1"/>
  <c r="R24" i="72"/>
  <c r="S24" i="72" s="1"/>
  <c r="R34" i="72"/>
  <c r="S34" i="72" s="1"/>
  <c r="R26" i="72"/>
  <c r="S26" i="72" s="1"/>
  <c r="R32" i="72"/>
  <c r="S32" i="72" s="1"/>
  <c r="R25" i="72"/>
  <c r="S25" i="72" s="1"/>
  <c r="R28" i="72"/>
  <c r="S28" i="72" s="1"/>
  <c r="R29" i="72"/>
  <c r="S29" i="72" s="1"/>
  <c r="R31" i="72"/>
  <c r="S31" i="72" s="1"/>
  <c r="R30" i="72"/>
  <c r="S30" i="72" s="1"/>
  <c r="R27" i="72"/>
  <c r="S27" i="72" s="1"/>
  <c r="R33" i="72"/>
  <c r="S33" i="72" s="1"/>
  <c r="R14" i="73"/>
  <c r="S14" i="73" s="1"/>
  <c r="R22" i="73"/>
  <c r="S22" i="73" s="1"/>
  <c r="F25" i="73"/>
  <c r="Q19" i="73"/>
  <c r="R19" i="73" s="1"/>
  <c r="S19" i="73" s="1"/>
  <c r="F15" i="73"/>
  <c r="Q12" i="73"/>
  <c r="Q18" i="73"/>
  <c r="F20" i="73"/>
  <c r="Q24" i="73"/>
  <c r="R24" i="73" s="1"/>
  <c r="S24" i="73" s="1"/>
  <c r="Z17" i="73" l="1"/>
  <c r="V24" i="72"/>
  <c r="V33" i="72"/>
  <c r="V32" i="72"/>
  <c r="Z23" i="73"/>
  <c r="F26" i="73"/>
  <c r="Z13" i="73"/>
  <c r="W19" i="73"/>
  <c r="Y19" i="73"/>
  <c r="Y24" i="73"/>
  <c r="W24" i="73"/>
  <c r="Y22" i="73"/>
  <c r="W22" i="73"/>
  <c r="X22" i="73" s="1"/>
  <c r="AA22" i="73" s="1"/>
  <c r="Y14" i="73"/>
  <c r="W14" i="73"/>
  <c r="U33" i="72"/>
  <c r="T27" i="72"/>
  <c r="U27" i="72"/>
  <c r="V27" i="72"/>
  <c r="U28" i="72"/>
  <c r="T28" i="72"/>
  <c r="Y28" i="72" s="1"/>
  <c r="U30" i="72"/>
  <c r="T30" i="72"/>
  <c r="V30" i="72"/>
  <c r="V31" i="72"/>
  <c r="U31" i="72"/>
  <c r="T31" i="72"/>
  <c r="Y31" i="72" s="1"/>
  <c r="U29" i="72"/>
  <c r="T29" i="72"/>
  <c r="V29" i="72"/>
  <c r="T32" i="72"/>
  <c r="U32" i="72"/>
  <c r="T33" i="72"/>
  <c r="R35" i="72"/>
  <c r="U24" i="72"/>
  <c r="T24" i="72"/>
  <c r="V25" i="72"/>
  <c r="T25" i="72"/>
  <c r="U25" i="72"/>
  <c r="V26" i="72"/>
  <c r="T26" i="72"/>
  <c r="U26" i="72"/>
  <c r="T34" i="72"/>
  <c r="V34" i="72"/>
  <c r="U34" i="72"/>
  <c r="O35" i="72"/>
  <c r="Q20" i="73"/>
  <c r="R18" i="73"/>
  <c r="S18" i="73" s="1"/>
  <c r="S25" i="73"/>
  <c r="Q25" i="73"/>
  <c r="Q15" i="73"/>
  <c r="R12" i="73"/>
  <c r="S12" i="73" s="1"/>
  <c r="R25" i="73"/>
  <c r="H35" i="72"/>
  <c r="M35" i="72"/>
  <c r="Y30" i="72" l="1"/>
  <c r="Y26" i="72"/>
  <c r="Y32" i="72"/>
  <c r="X24" i="72"/>
  <c r="X29" i="72"/>
  <c r="Y29" i="72"/>
  <c r="Y25" i="72"/>
  <c r="Y34" i="72"/>
  <c r="X27" i="72"/>
  <c r="Y33" i="72"/>
  <c r="Y27" i="72"/>
  <c r="X31" i="72"/>
  <c r="X26" i="72"/>
  <c r="X30" i="72"/>
  <c r="Z22" i="73"/>
  <c r="X25" i="72"/>
  <c r="X34" i="72"/>
  <c r="X32" i="72"/>
  <c r="X33" i="72"/>
  <c r="Z33" i="72" s="1"/>
  <c r="Y24" i="72"/>
  <c r="Q26" i="73"/>
  <c r="X28" i="72"/>
  <c r="Z28" i="72" s="1"/>
  <c r="X24" i="73"/>
  <c r="AA24" i="73" s="1"/>
  <c r="X14" i="73"/>
  <c r="AA14" i="73" s="1"/>
  <c r="X19" i="73"/>
  <c r="AA19" i="73" s="1"/>
  <c r="Y18" i="73"/>
  <c r="W18" i="73"/>
  <c r="X18" i="73" s="1"/>
  <c r="AA18" i="73" s="1"/>
  <c r="Y12" i="73"/>
  <c r="W12" i="73"/>
  <c r="V35" i="72"/>
  <c r="S35" i="72"/>
  <c r="U35" i="72"/>
  <c r="AB23" i="73"/>
  <c r="S15" i="73"/>
  <c r="S20" i="73"/>
  <c r="W25" i="73"/>
  <c r="AB13" i="73"/>
  <c r="R20" i="73"/>
  <c r="R15" i="73"/>
  <c r="AB17" i="73"/>
  <c r="Z32" i="72" l="1"/>
  <c r="R26" i="73"/>
  <c r="S26" i="73"/>
  <c r="Z19" i="73"/>
  <c r="AB19" i="73" s="1"/>
  <c r="Z14" i="73"/>
  <c r="AB14" i="73" s="1"/>
  <c r="Z18" i="73"/>
  <c r="Z24" i="73"/>
  <c r="Z25" i="73" s="1"/>
  <c r="X12" i="73"/>
  <c r="AA12" i="73" s="1"/>
  <c r="Z24" i="72"/>
  <c r="Z27" i="72"/>
  <c r="Z30" i="72"/>
  <c r="Z29" i="72"/>
  <c r="Z31" i="72"/>
  <c r="T35" i="72"/>
  <c r="Z26" i="72"/>
  <c r="X35" i="72"/>
  <c r="X25" i="73"/>
  <c r="W20" i="73"/>
  <c r="Y25" i="73"/>
  <c r="Y20" i="73"/>
  <c r="X20" i="73"/>
  <c r="AA25" i="73"/>
  <c r="W15" i="73"/>
  <c r="W26" i="73" s="1"/>
  <c r="AB22" i="73"/>
  <c r="Z25" i="72"/>
  <c r="Z34" i="72"/>
  <c r="AB24" i="73" l="1"/>
  <c r="Z12" i="73"/>
  <c r="Z15" i="73" s="1"/>
  <c r="X15" i="73"/>
  <c r="X26" i="73" s="1"/>
  <c r="Y35" i="72"/>
  <c r="AB25" i="73"/>
  <c r="AA20" i="73"/>
  <c r="Z20" i="73"/>
  <c r="AA15" i="73"/>
  <c r="AB18" i="73"/>
  <c r="AB20" i="73" s="1"/>
  <c r="Y15" i="73"/>
  <c r="Y26" i="73" s="1"/>
  <c r="AA26" i="73" l="1"/>
  <c r="Z26" i="73"/>
  <c r="Z35" i="72"/>
  <c r="AB12" i="73" l="1"/>
  <c r="AB15" i="73" s="1"/>
  <c r="AB26" i="73" s="1"/>
  <c r="I18" i="56" l="1"/>
  <c r="C18" i="56"/>
  <c r="F17" i="56"/>
  <c r="F16" i="56"/>
  <c r="F15" i="56"/>
  <c r="F14" i="56"/>
  <c r="F13" i="56"/>
  <c r="F12" i="56"/>
  <c r="F11" i="56"/>
  <c r="K16" i="56" l="1"/>
  <c r="K17" i="56"/>
  <c r="K11" i="56"/>
  <c r="F18" i="56"/>
  <c r="H16" i="56"/>
  <c r="H14" i="56"/>
  <c r="H17" i="56"/>
  <c r="H11" i="56"/>
  <c r="K14" i="56"/>
  <c r="K15" i="56"/>
  <c r="H15" i="56"/>
  <c r="P15" i="56" s="1"/>
  <c r="H13" i="56"/>
  <c r="H12" i="56"/>
  <c r="K13" i="56"/>
  <c r="K12" i="56"/>
  <c r="P13" i="56" l="1"/>
  <c r="P17" i="56"/>
  <c r="Q17" i="56" s="1"/>
  <c r="P12" i="56"/>
  <c r="P14" i="56"/>
  <c r="Q14" i="56" s="1"/>
  <c r="K18" i="56"/>
  <c r="P16" i="56"/>
  <c r="Q16" i="56" s="1"/>
  <c r="P11" i="56"/>
  <c r="H18" i="56"/>
  <c r="Q15" i="56"/>
  <c r="Q13" i="56"/>
  <c r="P18" i="56" l="1"/>
  <c r="T17" i="56"/>
  <c r="R13" i="56"/>
  <c r="R14" i="56"/>
  <c r="T16" i="56"/>
  <c r="R16" i="56"/>
  <c r="S16" i="56"/>
  <c r="S17" i="56"/>
  <c r="R17" i="56"/>
  <c r="Q11" i="56"/>
  <c r="T15" i="56"/>
  <c r="R15" i="56"/>
  <c r="S15" i="56"/>
  <c r="S14" i="56"/>
  <c r="T14" i="56"/>
  <c r="S13" i="56"/>
  <c r="T13" i="56"/>
  <c r="Q12" i="56"/>
  <c r="X14" i="56" l="1"/>
  <c r="X15" i="56"/>
  <c r="X13" i="56"/>
  <c r="W16" i="56"/>
  <c r="W14" i="56"/>
  <c r="Y14" i="56" s="1"/>
  <c r="W13" i="56"/>
  <c r="W17" i="56"/>
  <c r="W15" i="56"/>
  <c r="X17" i="56"/>
  <c r="X16" i="56"/>
  <c r="R12" i="56"/>
  <c r="Q18" i="56"/>
  <c r="R11" i="56"/>
  <c r="W11" i="56" s="1"/>
  <c r="S11" i="56"/>
  <c r="T11" i="56"/>
  <c r="T12" i="56"/>
  <c r="S12" i="56"/>
  <c r="Y15" i="56" l="1"/>
  <c r="X11" i="56"/>
  <c r="Y16" i="56"/>
  <c r="Y17" i="56"/>
  <c r="W12" i="56"/>
  <c r="W18" i="56" s="1"/>
  <c r="S18" i="56"/>
  <c r="X12" i="56"/>
  <c r="T18" i="56"/>
  <c r="R18" i="56"/>
  <c r="Y13" i="56"/>
  <c r="Y11" i="56" l="1"/>
  <c r="X18" i="56"/>
  <c r="Y12" i="56" l="1"/>
  <c r="Y18" i="56" s="1"/>
  <c r="F14" i="38" l="1"/>
  <c r="O21" i="36"/>
  <c r="F21" i="36"/>
  <c r="D17" i="31"/>
  <c r="O17" i="31"/>
  <c r="F16" i="31"/>
  <c r="Q21" i="36" l="1"/>
  <c r="R21" i="36" s="1"/>
  <c r="S21" i="36" s="1"/>
  <c r="Q16" i="31"/>
  <c r="R16" i="31" s="1"/>
  <c r="S16" i="31" s="1"/>
  <c r="C17" i="31"/>
  <c r="F11" i="31"/>
  <c r="V21" i="36" l="1"/>
  <c r="X21" i="36" s="1"/>
  <c r="V16" i="31"/>
  <c r="U16" i="31"/>
  <c r="T16" i="31"/>
  <c r="W16" i="31" s="1"/>
  <c r="W21" i="36" l="1"/>
  <c r="X16" i="31"/>
  <c r="Y21" i="36"/>
  <c r="Y16" i="31"/>
  <c r="C23" i="22"/>
  <c r="D23" i="22"/>
  <c r="F22" i="22"/>
  <c r="R22" i="22" s="1"/>
  <c r="S22" i="22" s="1"/>
  <c r="F15" i="22"/>
  <c r="R15" i="22" s="1"/>
  <c r="S15" i="22" s="1"/>
  <c r="X15" i="22" l="1"/>
  <c r="W15" i="22"/>
  <c r="V22" i="22"/>
  <c r="U22" i="22"/>
  <c r="T22" i="22"/>
  <c r="X22" i="22" l="1"/>
  <c r="W22" i="22"/>
  <c r="Y15" i="22"/>
  <c r="Y22" i="22" l="1"/>
  <c r="O10" i="35" l="1"/>
  <c r="O21" i="35" l="1"/>
  <c r="R21" i="35" s="1"/>
  <c r="S21" i="35" s="1"/>
  <c r="O20" i="35"/>
  <c r="R20" i="35" s="1"/>
  <c r="S20" i="35" s="1"/>
  <c r="T20" i="35" l="1"/>
  <c r="V20" i="35"/>
  <c r="U20" i="35"/>
  <c r="T21" i="35"/>
  <c r="V21" i="35"/>
  <c r="U21" i="35"/>
  <c r="W21" i="35" l="1"/>
  <c r="X21" i="35"/>
  <c r="W20" i="35"/>
  <c r="X20" i="35"/>
  <c r="Y20" i="35" s="1"/>
  <c r="Y21" i="35"/>
  <c r="X12" i="71" l="1"/>
  <c r="L12" i="71"/>
  <c r="K12" i="71"/>
  <c r="J12" i="71"/>
  <c r="I12" i="71"/>
  <c r="D12" i="71"/>
  <c r="C12" i="71"/>
  <c r="F11" i="71"/>
  <c r="Q11" i="71" s="1"/>
  <c r="F10" i="71"/>
  <c r="Q10" i="71" s="1"/>
  <c r="Q12" i="71" l="1"/>
  <c r="F12" i="71"/>
  <c r="M11" i="71"/>
  <c r="M10" i="71"/>
  <c r="H10" i="71"/>
  <c r="O12" i="71" l="1"/>
  <c r="R10" i="71"/>
  <c r="M12" i="71"/>
  <c r="R11" i="71"/>
  <c r="H12" i="71"/>
  <c r="S10" i="71" l="1"/>
  <c r="S11" i="71"/>
  <c r="R12" i="71"/>
  <c r="V10" i="71" l="1"/>
  <c r="Y10" i="71" s="1"/>
  <c r="V11" i="71"/>
  <c r="Z11" i="71" s="1"/>
  <c r="S12" i="71"/>
  <c r="Z10" i="71" l="1"/>
  <c r="AA10" i="71" s="1"/>
  <c r="Y11" i="71"/>
  <c r="V12" i="71"/>
  <c r="U12" i="71"/>
  <c r="T12" i="71"/>
  <c r="AA11" i="71" l="1"/>
  <c r="Z12" i="71"/>
  <c r="AA12" i="71" l="1"/>
  <c r="Y12" i="71"/>
  <c r="O15" i="60" l="1"/>
  <c r="O14" i="60"/>
  <c r="O13" i="60"/>
  <c r="O12" i="60"/>
  <c r="O11" i="60"/>
  <c r="O10" i="60"/>
  <c r="D13" i="62"/>
  <c r="I13" i="62"/>
  <c r="J13" i="62"/>
  <c r="K13" i="62"/>
  <c r="L13" i="62"/>
  <c r="M13" i="62"/>
  <c r="N13" i="62"/>
  <c r="P13" i="62"/>
  <c r="C13" i="62"/>
  <c r="O12" i="62"/>
  <c r="O11" i="62"/>
  <c r="O10" i="62"/>
  <c r="N26" i="35"/>
  <c r="M26" i="35"/>
  <c r="L26" i="35"/>
  <c r="K26" i="35"/>
  <c r="J26" i="35"/>
  <c r="I26" i="35"/>
  <c r="H26" i="35"/>
  <c r="G26" i="35"/>
  <c r="D26" i="35"/>
  <c r="C26" i="35"/>
  <c r="O25" i="35"/>
  <c r="Q25" i="35"/>
  <c r="O24" i="35"/>
  <c r="Q24" i="35"/>
  <c r="R24" i="35" s="1"/>
  <c r="S24" i="35" s="1"/>
  <c r="O23" i="35"/>
  <c r="Q23" i="35"/>
  <c r="O19" i="35"/>
  <c r="R19" i="35" s="1"/>
  <c r="S19" i="35" s="1"/>
  <c r="O18" i="35"/>
  <c r="R18" i="35" s="1"/>
  <c r="S18" i="35" s="1"/>
  <c r="O17" i="35"/>
  <c r="R17" i="35" s="1"/>
  <c r="S17" i="35" s="1"/>
  <c r="O16" i="35"/>
  <c r="R16" i="35" s="1"/>
  <c r="S16" i="35" s="1"/>
  <c r="O15" i="35"/>
  <c r="R15" i="35" s="1"/>
  <c r="S15" i="35" s="1"/>
  <c r="O14" i="35"/>
  <c r="R14" i="35" s="1"/>
  <c r="S14" i="35" s="1"/>
  <c r="O13" i="35"/>
  <c r="R13" i="35" s="1"/>
  <c r="S13" i="35" s="1"/>
  <c r="O12" i="35"/>
  <c r="R12" i="35" s="1"/>
  <c r="S12" i="35" s="1"/>
  <c r="O11" i="35"/>
  <c r="R11" i="35" s="1"/>
  <c r="S11" i="35" s="1"/>
  <c r="F10" i="35"/>
  <c r="R10" i="35" s="1"/>
  <c r="S10" i="35" s="1"/>
  <c r="R25" i="35" l="1"/>
  <c r="S25" i="35" s="1"/>
  <c r="T14" i="35"/>
  <c r="V14" i="35"/>
  <c r="X14" i="35" s="1"/>
  <c r="U14" i="35"/>
  <c r="W14" i="35" s="1"/>
  <c r="R23" i="35"/>
  <c r="S23" i="35" s="1"/>
  <c r="T10" i="35"/>
  <c r="U10" i="35"/>
  <c r="V10" i="35"/>
  <c r="T24" i="35"/>
  <c r="U24" i="35"/>
  <c r="V24" i="35"/>
  <c r="T11" i="35"/>
  <c r="U11" i="35"/>
  <c r="V11" i="35"/>
  <c r="T17" i="35"/>
  <c r="V17" i="35"/>
  <c r="U17" i="35"/>
  <c r="T12" i="35"/>
  <c r="U12" i="35"/>
  <c r="V12" i="35"/>
  <c r="T18" i="35"/>
  <c r="U18" i="35"/>
  <c r="V18" i="35"/>
  <c r="T25" i="35"/>
  <c r="X25" i="35" s="1"/>
  <c r="U25" i="35"/>
  <c r="V25" i="35"/>
  <c r="T15" i="35"/>
  <c r="V15" i="35"/>
  <c r="U15" i="35"/>
  <c r="W15" i="35" s="1"/>
  <c r="T16" i="35"/>
  <c r="U16" i="35"/>
  <c r="V16" i="35"/>
  <c r="T13" i="35"/>
  <c r="U13" i="35"/>
  <c r="V13" i="35"/>
  <c r="T19" i="35"/>
  <c r="U19" i="35"/>
  <c r="V19" i="35"/>
  <c r="O13" i="62"/>
  <c r="Q26" i="35"/>
  <c r="F26" i="35"/>
  <c r="O26" i="35"/>
  <c r="X17" i="35" l="1"/>
  <c r="X16" i="35"/>
  <c r="X10" i="35"/>
  <c r="X18" i="35"/>
  <c r="W11" i="35"/>
  <c r="X12" i="35"/>
  <c r="X19" i="35"/>
  <c r="X15" i="35"/>
  <c r="Y15" i="35" s="1"/>
  <c r="X13" i="35"/>
  <c r="W17" i="35"/>
  <c r="X24" i="35"/>
  <c r="W13" i="35"/>
  <c r="W19" i="35"/>
  <c r="X11" i="35"/>
  <c r="W24" i="35"/>
  <c r="W25" i="35"/>
  <c r="Y25" i="35" s="1"/>
  <c r="Y14" i="35"/>
  <c r="W16" i="35"/>
  <c r="W10" i="35"/>
  <c r="W18" i="35"/>
  <c r="W12" i="35"/>
  <c r="T23" i="35"/>
  <c r="T26" i="35" s="1"/>
  <c r="U23" i="35"/>
  <c r="U26" i="35" s="1"/>
  <c r="V23" i="35"/>
  <c r="V26" i="35" s="1"/>
  <c r="S26" i="35"/>
  <c r="R26" i="35"/>
  <c r="Y24" i="35" l="1"/>
  <c r="Y18" i="35"/>
  <c r="Y12" i="35"/>
  <c r="Y19" i="35"/>
  <c r="W23" i="35"/>
  <c r="W26" i="35" s="1"/>
  <c r="X23" i="35"/>
  <c r="X26" i="35" s="1"/>
  <c r="Y16" i="35"/>
  <c r="Y13" i="35"/>
  <c r="Y11" i="35"/>
  <c r="Y17" i="35"/>
  <c r="Y10" i="35"/>
  <c r="Y23" i="35" l="1"/>
  <c r="Y26" i="35" s="1"/>
  <c r="N11" i="41" l="1"/>
  <c r="M11" i="41"/>
  <c r="K11" i="41"/>
  <c r="J11" i="41"/>
  <c r="I11" i="41"/>
  <c r="D11" i="41"/>
  <c r="C11" i="41"/>
  <c r="F10" i="41"/>
  <c r="F11" i="41" s="1"/>
  <c r="O15" i="38"/>
  <c r="N15" i="38"/>
  <c r="M15" i="38"/>
  <c r="J15" i="38"/>
  <c r="I15" i="38"/>
  <c r="G15" i="38"/>
  <c r="D15" i="38"/>
  <c r="C15" i="38"/>
  <c r="H14" i="38"/>
  <c r="F13" i="38"/>
  <c r="F12" i="38"/>
  <c r="F11" i="38"/>
  <c r="N17" i="31"/>
  <c r="H17" i="31"/>
  <c r="G17" i="31"/>
  <c r="F15" i="31"/>
  <c r="F14" i="31"/>
  <c r="F13" i="31"/>
  <c r="F12" i="31"/>
  <c r="F10" i="31"/>
  <c r="X11" i="48"/>
  <c r="Q11" i="48"/>
  <c r="O11" i="48"/>
  <c r="I11" i="48"/>
  <c r="H11" i="48"/>
  <c r="D11" i="48"/>
  <c r="C11" i="48"/>
  <c r="F10" i="48"/>
  <c r="F11" i="48" s="1"/>
  <c r="O21" i="22"/>
  <c r="F21" i="22"/>
  <c r="O20" i="22"/>
  <c r="F20" i="22"/>
  <c r="O19" i="22"/>
  <c r="F19" i="22"/>
  <c r="O18" i="22"/>
  <c r="F18" i="22"/>
  <c r="O17" i="22"/>
  <c r="F17" i="22"/>
  <c r="O16" i="22"/>
  <c r="F16" i="22"/>
  <c r="O14" i="22"/>
  <c r="F14" i="22"/>
  <c r="O13" i="22"/>
  <c r="F13" i="22"/>
  <c r="O12" i="22"/>
  <c r="F12" i="22"/>
  <c r="O11" i="22"/>
  <c r="F11" i="22"/>
  <c r="M23" i="36"/>
  <c r="L23" i="36"/>
  <c r="K23" i="36"/>
  <c r="J23" i="36"/>
  <c r="I23" i="36"/>
  <c r="D23" i="36"/>
  <c r="C23" i="36"/>
  <c r="O22" i="36"/>
  <c r="F22" i="36"/>
  <c r="O20" i="36"/>
  <c r="F20" i="36"/>
  <c r="O19" i="36"/>
  <c r="F19" i="36"/>
  <c r="F18" i="36"/>
  <c r="O17" i="36"/>
  <c r="F17" i="36"/>
  <c r="O16" i="36"/>
  <c r="F16" i="36"/>
  <c r="O15" i="36"/>
  <c r="F15" i="36"/>
  <c r="O14" i="36"/>
  <c r="R14" i="36" s="1"/>
  <c r="S14" i="36" s="1"/>
  <c r="O13" i="36"/>
  <c r="F13" i="36"/>
  <c r="O12" i="36"/>
  <c r="F12" i="36"/>
  <c r="O11" i="36"/>
  <c r="F11" i="36"/>
  <c r="O10" i="36"/>
  <c r="F10" i="36"/>
  <c r="X16" i="54"/>
  <c r="L16" i="54"/>
  <c r="K16" i="54"/>
  <c r="J16" i="54"/>
  <c r="I16" i="54"/>
  <c r="D16" i="54"/>
  <c r="C16" i="54"/>
  <c r="F15" i="54"/>
  <c r="M15" i="54" s="1"/>
  <c r="F14" i="54"/>
  <c r="H14" i="54" s="1"/>
  <c r="F11" i="15"/>
  <c r="F12" i="15" s="1"/>
  <c r="R11" i="36" l="1"/>
  <c r="S11" i="36" s="1"/>
  <c r="R12" i="36"/>
  <c r="R10" i="36"/>
  <c r="S10" i="36" s="1"/>
  <c r="R13" i="36"/>
  <c r="S13" i="36" s="1"/>
  <c r="Q20" i="36"/>
  <c r="R20" i="36"/>
  <c r="S20" i="36" s="1"/>
  <c r="V11" i="36"/>
  <c r="W11" i="36" s="1"/>
  <c r="V14" i="36"/>
  <c r="X14" i="36" s="1"/>
  <c r="Q22" i="36"/>
  <c r="R22" i="36" s="1"/>
  <c r="S22" i="36" s="1"/>
  <c r="Q17" i="36"/>
  <c r="R17" i="36" s="1"/>
  <c r="S17" i="36" s="1"/>
  <c r="Q15" i="36"/>
  <c r="R15" i="36" s="1"/>
  <c r="S15" i="36" s="1"/>
  <c r="S12" i="36"/>
  <c r="Q19" i="36"/>
  <c r="R19" i="36" s="1"/>
  <c r="S19" i="36" s="1"/>
  <c r="Q15" i="31"/>
  <c r="R15" i="31" s="1"/>
  <c r="S15" i="31" s="1"/>
  <c r="Q12" i="31"/>
  <c r="R12" i="31" s="1"/>
  <c r="S12" i="31" s="1"/>
  <c r="Q13" i="31"/>
  <c r="R13" i="31" s="1"/>
  <c r="S13" i="31" s="1"/>
  <c r="R18" i="22"/>
  <c r="S18" i="22" s="1"/>
  <c r="U18" i="22" s="1"/>
  <c r="R21" i="22"/>
  <c r="S21" i="22" s="1"/>
  <c r="Q12" i="38"/>
  <c r="Q13" i="38"/>
  <c r="R13" i="38" s="1"/>
  <c r="S13" i="38" s="1"/>
  <c r="Q13" i="22"/>
  <c r="R13" i="22" s="1"/>
  <c r="S13" i="22" s="1"/>
  <c r="Q17" i="22"/>
  <c r="R17" i="22" s="1"/>
  <c r="S17" i="22" s="1"/>
  <c r="Q20" i="22"/>
  <c r="R20" i="22" s="1"/>
  <c r="S20" i="22" s="1"/>
  <c r="Q14" i="22"/>
  <c r="R14" i="22" s="1"/>
  <c r="S14" i="22" s="1"/>
  <c r="Q12" i="22"/>
  <c r="R12" i="22" s="1"/>
  <c r="S12" i="22" s="1"/>
  <c r="Q16" i="22"/>
  <c r="R16" i="22" s="1"/>
  <c r="S16" i="22" s="1"/>
  <c r="F23" i="22"/>
  <c r="F17" i="31"/>
  <c r="O23" i="22"/>
  <c r="O10" i="41"/>
  <c r="O11" i="41" s="1"/>
  <c r="Q15" i="54"/>
  <c r="F16" i="54"/>
  <c r="R11" i="22"/>
  <c r="S11" i="22" s="1"/>
  <c r="M14" i="54"/>
  <c r="Q10" i="41"/>
  <c r="Q11" i="41" s="1"/>
  <c r="M10" i="48"/>
  <c r="M11" i="48" s="1"/>
  <c r="Q14" i="38"/>
  <c r="R14" i="38" s="1"/>
  <c r="S14" i="38" s="1"/>
  <c r="O15" i="54"/>
  <c r="O14" i="54"/>
  <c r="H12" i="38"/>
  <c r="Q14" i="54"/>
  <c r="F23" i="36"/>
  <c r="Q11" i="31"/>
  <c r="R11" i="31" s="1"/>
  <c r="S11" i="31" s="1"/>
  <c r="Q11" i="15"/>
  <c r="Q12" i="15" s="1"/>
  <c r="H10" i="41"/>
  <c r="H11" i="41" s="1"/>
  <c r="K15" i="38"/>
  <c r="H11" i="38"/>
  <c r="R11" i="38" s="1"/>
  <c r="S11" i="38" s="1"/>
  <c r="F15" i="38"/>
  <c r="Q10" i="31"/>
  <c r="R10" i="31" s="1"/>
  <c r="S10" i="31" s="1"/>
  <c r="Q14" i="31"/>
  <c r="R14" i="31" s="1"/>
  <c r="S14" i="31" s="1"/>
  <c r="K10" i="48"/>
  <c r="K11" i="48" s="1"/>
  <c r="Q19" i="22"/>
  <c r="R19" i="22" s="1"/>
  <c r="S19" i="22" s="1"/>
  <c r="H23" i="36"/>
  <c r="Q18" i="36"/>
  <c r="R18" i="36" s="1"/>
  <c r="S18" i="36" s="1"/>
  <c r="Q16" i="36"/>
  <c r="R16" i="36" s="1"/>
  <c r="S16" i="36" s="1"/>
  <c r="O23" i="36"/>
  <c r="M11" i="15"/>
  <c r="M12" i="15" s="1"/>
  <c r="T19" i="22" l="1"/>
  <c r="T11" i="22"/>
  <c r="V18" i="22"/>
  <c r="X11" i="36"/>
  <c r="Y11" i="36" s="1"/>
  <c r="X14" i="22"/>
  <c r="W14" i="22"/>
  <c r="W14" i="36"/>
  <c r="Y14" i="36" s="1"/>
  <c r="T18" i="22"/>
  <c r="W18" i="22" s="1"/>
  <c r="V18" i="36"/>
  <c r="W18" i="36" s="1"/>
  <c r="V19" i="36"/>
  <c r="W19" i="36" s="1"/>
  <c r="V16" i="36"/>
  <c r="W16" i="36" s="1"/>
  <c r="V17" i="36"/>
  <c r="X17" i="36" s="1"/>
  <c r="V22" i="36"/>
  <c r="X22" i="36" s="1"/>
  <c r="V20" i="36"/>
  <c r="X20" i="36" s="1"/>
  <c r="V12" i="36"/>
  <c r="X12" i="36" s="1"/>
  <c r="V15" i="36"/>
  <c r="X15" i="36" s="1"/>
  <c r="U13" i="36"/>
  <c r="T13" i="36"/>
  <c r="V13" i="36"/>
  <c r="V10" i="36"/>
  <c r="X10" i="36" s="1"/>
  <c r="V14" i="31"/>
  <c r="W14" i="31" s="1"/>
  <c r="V12" i="31"/>
  <c r="W12" i="31" s="1"/>
  <c r="S17" i="31"/>
  <c r="V10" i="31"/>
  <c r="W10" i="31" s="1"/>
  <c r="V11" i="31"/>
  <c r="X11" i="31" s="1"/>
  <c r="T15" i="31"/>
  <c r="U15" i="31"/>
  <c r="V15" i="31"/>
  <c r="V13" i="31"/>
  <c r="X13" i="31" s="1"/>
  <c r="W14" i="38"/>
  <c r="X14" i="38"/>
  <c r="X13" i="38"/>
  <c r="W13" i="38"/>
  <c r="R12" i="38"/>
  <c r="S12" i="38" s="1"/>
  <c r="V11" i="38"/>
  <c r="T11" i="38"/>
  <c r="X11" i="38" s="1"/>
  <c r="T12" i="22"/>
  <c r="V12" i="22"/>
  <c r="U12" i="22"/>
  <c r="V13" i="22"/>
  <c r="T13" i="22"/>
  <c r="U13" i="22"/>
  <c r="V19" i="22"/>
  <c r="X19" i="22" s="1"/>
  <c r="U19" i="22"/>
  <c r="U17" i="22"/>
  <c r="V17" i="22"/>
  <c r="T17" i="22"/>
  <c r="T20" i="22"/>
  <c r="V20" i="22"/>
  <c r="U20" i="22"/>
  <c r="V16" i="22"/>
  <c r="U16" i="22"/>
  <c r="T16" i="22"/>
  <c r="X16" i="22" s="1"/>
  <c r="V21" i="22"/>
  <c r="U21" i="22"/>
  <c r="T21" i="22"/>
  <c r="V11" i="22"/>
  <c r="U11" i="22"/>
  <c r="U11" i="38"/>
  <c r="Q17" i="31"/>
  <c r="Q23" i="22"/>
  <c r="R23" i="22"/>
  <c r="S23" i="22"/>
  <c r="Q16" i="54"/>
  <c r="R15" i="54"/>
  <c r="S15" i="54" s="1"/>
  <c r="M16" i="54"/>
  <c r="Q15" i="38"/>
  <c r="R14" i="54"/>
  <c r="S14" i="54" s="1"/>
  <c r="O16" i="54"/>
  <c r="R10" i="41"/>
  <c r="S10" i="41" s="1"/>
  <c r="H15" i="38"/>
  <c r="R10" i="48"/>
  <c r="S10" i="48" s="1"/>
  <c r="Q23" i="36"/>
  <c r="H16" i="54"/>
  <c r="R11" i="15"/>
  <c r="R12" i="15" s="1"/>
  <c r="X21" i="22" l="1"/>
  <c r="X17" i="22"/>
  <c r="X13" i="36"/>
  <c r="W11" i="22"/>
  <c r="X16" i="36"/>
  <c r="W19" i="22"/>
  <c r="X18" i="22"/>
  <c r="X13" i="22"/>
  <c r="X20" i="22"/>
  <c r="W13" i="22"/>
  <c r="W15" i="36"/>
  <c r="X11" i="22"/>
  <c r="X12" i="22"/>
  <c r="X18" i="36"/>
  <c r="Y18" i="36" s="1"/>
  <c r="X10" i="31"/>
  <c r="W13" i="31"/>
  <c r="Y13" i="31" s="1"/>
  <c r="W17" i="36"/>
  <c r="Y17" i="36" s="1"/>
  <c r="W17" i="22"/>
  <c r="W22" i="36"/>
  <c r="W15" i="31"/>
  <c r="W11" i="38"/>
  <c r="S11" i="41"/>
  <c r="X14" i="31"/>
  <c r="X19" i="36"/>
  <c r="W21" i="22"/>
  <c r="Y21" i="22" s="1"/>
  <c r="W11" i="31"/>
  <c r="W13" i="36"/>
  <c r="X12" i="31"/>
  <c r="Y12" i="31" s="1"/>
  <c r="W20" i="36"/>
  <c r="W12" i="22"/>
  <c r="W12" i="36"/>
  <c r="Y12" i="36" s="1"/>
  <c r="W16" i="22"/>
  <c r="W20" i="22"/>
  <c r="X15" i="31"/>
  <c r="Y15" i="36"/>
  <c r="W10" i="36"/>
  <c r="Y22" i="36"/>
  <c r="Y16" i="36"/>
  <c r="R23" i="36"/>
  <c r="U17" i="31"/>
  <c r="T17" i="31"/>
  <c r="V17" i="31"/>
  <c r="T12" i="38"/>
  <c r="U12" i="38"/>
  <c r="U15" i="38" s="1"/>
  <c r="V12" i="38"/>
  <c r="V15" i="38" s="1"/>
  <c r="Y14" i="38"/>
  <c r="Y14" i="22"/>
  <c r="V10" i="48"/>
  <c r="Z10" i="48" s="1"/>
  <c r="T10" i="41"/>
  <c r="Z10" i="41" s="1"/>
  <c r="R15" i="38"/>
  <c r="R17" i="31"/>
  <c r="V23" i="22"/>
  <c r="U23" i="22"/>
  <c r="T23" i="22"/>
  <c r="V14" i="54"/>
  <c r="Y14" i="54" s="1"/>
  <c r="V15" i="54"/>
  <c r="Y15" i="54" s="1"/>
  <c r="S11" i="15"/>
  <c r="Y13" i="38"/>
  <c r="R11" i="41"/>
  <c r="R11" i="48"/>
  <c r="R16" i="54"/>
  <c r="Y13" i="22" l="1"/>
  <c r="X12" i="38"/>
  <c r="Z14" i="54"/>
  <c r="W12" i="38"/>
  <c r="X17" i="31"/>
  <c r="Z15" i="54"/>
  <c r="Y10" i="48"/>
  <c r="Y10" i="41"/>
  <c r="Y11" i="41" s="1"/>
  <c r="S12" i="15"/>
  <c r="Y20" i="36"/>
  <c r="Y19" i="36"/>
  <c r="Y13" i="36"/>
  <c r="Y10" i="36"/>
  <c r="V23" i="36"/>
  <c r="U23" i="36"/>
  <c r="T11" i="41"/>
  <c r="Y15" i="31"/>
  <c r="W17" i="31"/>
  <c r="Y12" i="22"/>
  <c r="Y16" i="22"/>
  <c r="Y17" i="22"/>
  <c r="Y12" i="38"/>
  <c r="Y14" i="31"/>
  <c r="Y11" i="31"/>
  <c r="Y11" i="22"/>
  <c r="Y19" i="22"/>
  <c r="Y20" i="22"/>
  <c r="Y18" i="22"/>
  <c r="T11" i="15"/>
  <c r="T12" i="15" s="1"/>
  <c r="AA15" i="54"/>
  <c r="Z11" i="41"/>
  <c r="V11" i="15"/>
  <c r="V12" i="15" s="1"/>
  <c r="U11" i="15"/>
  <c r="U12" i="15" s="1"/>
  <c r="W23" i="22"/>
  <c r="X23" i="22"/>
  <c r="S15" i="38"/>
  <c r="Y11" i="38"/>
  <c r="V11" i="48"/>
  <c r="S11" i="48"/>
  <c r="S23" i="36"/>
  <c r="S16" i="54"/>
  <c r="V16" i="54"/>
  <c r="Y11" i="15" l="1"/>
  <c r="Z11" i="15"/>
  <c r="Z12" i="15" s="1"/>
  <c r="T23" i="36"/>
  <c r="Y15" i="38"/>
  <c r="T15" i="38"/>
  <c r="Y23" i="22"/>
  <c r="AA14" i="54"/>
  <c r="Z11" i="48"/>
  <c r="X15" i="38"/>
  <c r="T11" i="48"/>
  <c r="X23" i="36"/>
  <c r="U16" i="54"/>
  <c r="T16" i="54"/>
  <c r="Z16" i="54"/>
  <c r="W15" i="38" l="1"/>
  <c r="Y10" i="31"/>
  <c r="Y17" i="31" s="1"/>
  <c r="AA10" i="41"/>
  <c r="AA11" i="41" s="1"/>
  <c r="U11" i="48"/>
  <c r="W23" i="36"/>
  <c r="Y23" i="36"/>
  <c r="Y12" i="15"/>
  <c r="AA10" i="48" l="1"/>
  <c r="AA11" i="48" s="1"/>
  <c r="Y11" i="48"/>
  <c r="AA16" i="54"/>
  <c r="Y16" i="54"/>
  <c r="AA11" i="15"/>
  <c r="AA12" i="15" s="1"/>
  <c r="F12" i="62" l="1"/>
  <c r="R12" i="62" s="1"/>
  <c r="S12" i="62" s="1"/>
  <c r="F11" i="62"/>
  <c r="F10" i="62"/>
  <c r="V12" i="62" l="1"/>
  <c r="T12" i="62"/>
  <c r="X12" i="62" s="1"/>
  <c r="F13" i="62"/>
  <c r="R11" i="62"/>
  <c r="S11" i="62" s="1"/>
  <c r="U12" i="62"/>
  <c r="Q10" i="62"/>
  <c r="R10" i="62" s="1"/>
  <c r="S10" i="62" s="1"/>
  <c r="H13" i="62"/>
  <c r="W12" i="62" l="1"/>
  <c r="U11" i="62"/>
  <c r="V11" i="62"/>
  <c r="T11" i="62"/>
  <c r="W11" i="62" s="1"/>
  <c r="T10" i="62"/>
  <c r="U10" i="62"/>
  <c r="V10" i="62"/>
  <c r="Q13" i="62"/>
  <c r="R13" i="62"/>
  <c r="W10" i="62" l="1"/>
  <c r="X11" i="62"/>
  <c r="X10" i="62"/>
  <c r="Y12" i="62"/>
  <c r="Y11" i="62" l="1"/>
  <c r="V13" i="62"/>
  <c r="Y10" i="62"/>
  <c r="S13" i="62"/>
  <c r="U13" i="62"/>
  <c r="F16" i="60"/>
  <c r="F15" i="60"/>
  <c r="F14" i="60"/>
  <c r="F13" i="60"/>
  <c r="F12" i="60"/>
  <c r="F11" i="60"/>
  <c r="F10" i="60"/>
  <c r="F17" i="60" l="1"/>
  <c r="R13" i="60"/>
  <c r="S13" i="60" s="1"/>
  <c r="R14" i="60"/>
  <c r="S14" i="60" s="1"/>
  <c r="R11" i="60"/>
  <c r="S11" i="60" s="1"/>
  <c r="R15" i="60"/>
  <c r="S15" i="60" s="1"/>
  <c r="R12" i="60"/>
  <c r="S12" i="60" s="1"/>
  <c r="X13" i="62"/>
  <c r="T13" i="62"/>
  <c r="Q16" i="60"/>
  <c r="O16" i="60"/>
  <c r="Q10" i="60"/>
  <c r="R10" i="60" l="1"/>
  <c r="Q17" i="60"/>
  <c r="R16" i="60"/>
  <c r="O17" i="60"/>
  <c r="T14" i="60"/>
  <c r="V14" i="60"/>
  <c r="U14" i="60"/>
  <c r="V15" i="60"/>
  <c r="U15" i="60"/>
  <c r="T15" i="60"/>
  <c r="V12" i="60"/>
  <c r="U12" i="60"/>
  <c r="T12" i="60"/>
  <c r="U13" i="60"/>
  <c r="V13" i="60"/>
  <c r="T13" i="60"/>
  <c r="W13" i="60" s="1"/>
  <c r="V11" i="60"/>
  <c r="U11" i="60"/>
  <c r="T11" i="60"/>
  <c r="W13" i="62"/>
  <c r="Y13" i="62"/>
  <c r="S16" i="60"/>
  <c r="X12" i="60" l="1"/>
  <c r="X14" i="60"/>
  <c r="X15" i="60"/>
  <c r="W14" i="60"/>
  <c r="Y14" i="60" s="1"/>
  <c r="X13" i="60"/>
  <c r="W12" i="60"/>
  <c r="X11" i="60"/>
  <c r="W15" i="60"/>
  <c r="W11" i="60"/>
  <c r="S10" i="60"/>
  <c r="R17" i="60"/>
  <c r="U16" i="60"/>
  <c r="T16" i="60"/>
  <c r="V16" i="60"/>
  <c r="X16" i="60" l="1"/>
  <c r="Y15" i="60"/>
  <c r="W16" i="60"/>
  <c r="Y11" i="60"/>
  <c r="Y12" i="60"/>
  <c r="Y13" i="60"/>
  <c r="S17" i="60"/>
  <c r="T10" i="60"/>
  <c r="T17" i="60" s="1"/>
  <c r="V10" i="60"/>
  <c r="V17" i="60" s="1"/>
  <c r="U10" i="60"/>
  <c r="U17" i="60" s="1"/>
  <c r="W10" i="60" l="1"/>
  <c r="X10" i="60"/>
  <c r="X17" i="60" s="1"/>
  <c r="Y16" i="60"/>
  <c r="W17" i="60" l="1"/>
  <c r="Y10" i="60"/>
  <c r="Y17" i="60" s="1"/>
  <c r="D55" i="58" l="1"/>
  <c r="D33" i="5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Пользователь</author>
  </authors>
  <commentList>
    <comment ref="J22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04"/>
          </rPr>
          <t>УГНС</t>
        </r>
      </text>
    </comment>
    <comment ref="K22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04"/>
          </rPr>
          <t>УГНС</t>
        </r>
      </text>
    </comment>
    <comment ref="M22" authorId="0" shapeId="0" xr:uid="{00000000-0006-0000-0100-000003000000}">
      <text>
        <r>
          <rPr>
            <b/>
            <sz val="9"/>
            <color indexed="81"/>
            <rFont val="Tahoma"/>
            <family val="2"/>
            <charset val="204"/>
          </rPr>
          <t>УГНС</t>
        </r>
      </text>
    </comment>
    <comment ref="O22" authorId="0" shapeId="0" xr:uid="{00000000-0006-0000-0100-000004000000}">
      <text>
        <r>
          <rPr>
            <b/>
            <sz val="9"/>
            <color indexed="81"/>
            <rFont val="Tahoma"/>
            <family val="2"/>
            <charset val="204"/>
          </rPr>
          <t>УГНС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Пользователь</author>
  </authors>
  <commentList>
    <comment ref="J24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204"/>
          </rPr>
          <t>УГНС</t>
        </r>
      </text>
    </comment>
    <comment ref="K24" authorId="0" shapeId="0" xr:uid="{00000000-0006-0000-0300-000002000000}">
      <text>
        <r>
          <rPr>
            <b/>
            <sz val="9"/>
            <color indexed="81"/>
            <rFont val="Tahoma"/>
            <family val="2"/>
            <charset val="204"/>
          </rPr>
          <t>УГНС</t>
        </r>
      </text>
    </comment>
    <comment ref="L24" authorId="0" shapeId="0" xr:uid="{00000000-0006-0000-0300-000003000000}">
      <text>
        <r>
          <rPr>
            <b/>
            <sz val="9"/>
            <color indexed="81"/>
            <rFont val="Tahoma"/>
            <family val="2"/>
            <charset val="204"/>
          </rPr>
          <t>УГНС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B14" authorId="0" shapeId="0" xr:uid="{00000000-0006-0000-0C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 айдан 9 айга чейин долбоор</t>
        </r>
      </text>
    </comment>
    <comment ref="B28" authorId="0" shapeId="0" xr:uid="{00000000-0006-0000-0C00-000002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 айдан 9 айга чейин долбоор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E10" authorId="0" shapeId="0" xr:uid="{00000000-0006-0000-14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 уровне мастера</t>
        </r>
      </text>
    </comment>
    <comment ref="E11" authorId="0" shapeId="0" xr:uid="{00000000-0006-0000-1400-000002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 уровне сантехника слесаря и др</t>
        </r>
      </text>
    </comment>
    <comment ref="E17" authorId="0" shapeId="0" xr:uid="{00000000-0006-0000-1400-000003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 уровне мастера</t>
        </r>
      </text>
    </comment>
    <comment ref="E18" authorId="0" shapeId="0" xr:uid="{00000000-0006-0000-1400-000004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 уровне сантехника слесаря и др</t>
        </r>
      </text>
    </comment>
  </commentList>
</comments>
</file>

<file path=xl/sharedStrings.xml><?xml version="1.0" encoding="utf-8"?>
<sst xmlns="http://schemas.openxmlformats.org/spreadsheetml/2006/main" count="1654" uniqueCount="536">
  <si>
    <t>№</t>
  </si>
  <si>
    <t>Элемент
(8)</t>
  </si>
  <si>
    <t xml:space="preserve">Киреше  булактарынын аттары. </t>
  </si>
  <si>
    <t>%</t>
  </si>
  <si>
    <t>Роялти</t>
  </si>
  <si>
    <t>Жалпы мамлекеттик салыктардын жыйынтыгы</t>
  </si>
  <si>
    <t>Бекитилген кирешелердин жыйынтыгы</t>
  </si>
  <si>
    <t>Салык кызматтары аркылуу чогултулган киреше</t>
  </si>
  <si>
    <t xml:space="preserve">Жалпы салык жана салык эмес  кирешелер </t>
  </si>
  <si>
    <t>Атайын төлөмдөрдөн түшүүчү кирешелер</t>
  </si>
  <si>
    <t>Шаардык кенеш</t>
  </si>
  <si>
    <t>Капиталдык курулуш департаменти</t>
  </si>
  <si>
    <t>Коммуналдык чарба департаменти</t>
  </si>
  <si>
    <t>Жашылдандыруу чарбасы</t>
  </si>
  <si>
    <t>Маданият сарайы</t>
  </si>
  <si>
    <t>Мектептер</t>
  </si>
  <si>
    <t>Кайрымдуулук борбору</t>
  </si>
  <si>
    <t>Мекеменин аталыша</t>
  </si>
  <si>
    <t>Жыйынтыгы</t>
  </si>
  <si>
    <t>Жалал-Абад шаарынын  мэриясынын  штаттык ырааттамасы</t>
  </si>
  <si>
    <t>Кызматтын аталышы</t>
  </si>
  <si>
    <t>Бирдиктердин саны</t>
  </si>
  <si>
    <t>Базалык ставка</t>
  </si>
  <si>
    <t>Кызматтык маяна</t>
  </si>
  <si>
    <t>Иштин жашырын мунозу учун кошумча устоктор, 25%</t>
  </si>
  <si>
    <t>Класстык чин</t>
  </si>
  <si>
    <t>Шаардык кенештен кошулган үстөктөр</t>
  </si>
  <si>
    <t>КР Окмоту тарабынан кошулуучу болок устоктор</t>
  </si>
  <si>
    <t>Бир айлык эмгек акы 
(бир кишиге)</t>
  </si>
  <si>
    <t>сумма</t>
  </si>
  <si>
    <t>Айдоочу</t>
  </si>
  <si>
    <t>Жалпы КТП</t>
  </si>
  <si>
    <t>Электрик</t>
  </si>
  <si>
    <t>Кароолчу</t>
  </si>
  <si>
    <t>Ашпозчу</t>
  </si>
  <si>
    <t>Ашканачы</t>
  </si>
  <si>
    <t>Тазалыкты сактоочу</t>
  </si>
  <si>
    <t>Айдоочу таштанды ташуучу</t>
  </si>
  <si>
    <t>Бакчы-Нооруз багы</t>
  </si>
  <si>
    <t>Жалпы эсеби</t>
  </si>
  <si>
    <t>Жыйынтыгы:</t>
  </si>
  <si>
    <t xml:space="preserve">Инженер электрик АБЗ </t>
  </si>
  <si>
    <t>Автопогрузчиктин айдоочусу</t>
  </si>
  <si>
    <t>КАМАЗ автомашинасынын айдоочусу</t>
  </si>
  <si>
    <t>Портер автомашинасынын айдоочусу</t>
  </si>
  <si>
    <t>Мотокатоктун айдоочусу</t>
  </si>
  <si>
    <t>Автогрейдердин айдоочусу</t>
  </si>
  <si>
    <t>АБЗнын кароолчулары</t>
  </si>
  <si>
    <t>Гараждагы техникаларга кароол</t>
  </si>
  <si>
    <t>Жумушчулар</t>
  </si>
  <si>
    <t>Мекеменин кароолчусу</t>
  </si>
  <si>
    <t>Бакчы-короо тазалоочу</t>
  </si>
  <si>
    <t>Мэриянын от жагуучусу</t>
  </si>
  <si>
    <t>Кароол (5 айга )</t>
  </si>
  <si>
    <t>Тазалыкты сактоочу (5 айга )</t>
  </si>
  <si>
    <t>Жалал-Абад шаарынын  Курманбек стадионунун  штаттык ырааттамасы</t>
  </si>
  <si>
    <t>Багбан</t>
  </si>
  <si>
    <t>Тракторист</t>
  </si>
  <si>
    <t>Жумушчу</t>
  </si>
  <si>
    <t>Ширетуучу, электрик козомол</t>
  </si>
  <si>
    <t>Жумушчу (кочо шыпыргыч)</t>
  </si>
  <si>
    <t>Айдоочу (бус)</t>
  </si>
  <si>
    <t>Кызмат көрсөтүүнүн башка классификацияланбаган түрлөрү үчүн акы</t>
  </si>
  <si>
    <t>Учурдагы жардам</t>
  </si>
  <si>
    <t>Атайын төлөмдөрдөн түшүүчү кирешелердин жыйынтыгы</t>
  </si>
  <si>
    <t>Жалпы кирешелер жана атайын төлөмдөр</t>
  </si>
  <si>
    <t>Тазалоочу</t>
  </si>
  <si>
    <t>Мектепке чейинки жана мектеп мекемелерине кошумча кызмат көрсөтүү акысы</t>
  </si>
  <si>
    <t>Мамлекеттин пайдасына айлантылган кирешелер</t>
  </si>
  <si>
    <t>Милдеттүү патенттин негизинде салык</t>
  </si>
  <si>
    <t>Ыктыярдуу патенттин негизинде салык</t>
  </si>
  <si>
    <t>3-топтогу ишкердик иши үчүн пайдаланылган кыймылсыз мүлккө салык</t>
  </si>
  <si>
    <t>Кыймылдуу мүлккө салык (транспорттук каражаттарга)</t>
  </si>
  <si>
    <t>Калктуу пункттардын таштандысын чыгаруу үчүн жыйым</t>
  </si>
  <si>
    <t>Калктуу конуштарда жер ижарасы үчүн акы, анын ичинен:</t>
  </si>
  <si>
    <t>Муниципалдык менчикте турган жайлардын, имараттардын, курулмалардын, жабдуулардын жана техникалардын ижара акысы</t>
  </si>
  <si>
    <t>Автотранспортту парковкалоо жана автотоктотмо үчүн жыйымдар</t>
  </si>
  <si>
    <t>Алкоголдук продукцияны сатууга лицензия алган субъекттерден этил спирттин жана алкоголдук продукцияны өндүрүү жана жүгүртүү боюнча ишти ишке ашыруу үчүн жыйым</t>
  </si>
  <si>
    <t>Контролдук-көзөмөл чараларын жүргүзүүдөн түшүүлөр</t>
  </si>
  <si>
    <t>Экономикалык кылмыштар боюнча келтирилген зыяндын ордун толтуруу</t>
  </si>
  <si>
    <t>Жеңил автомобилдерди сатуу</t>
  </si>
  <si>
    <t>Жук ташуучу машиналарды сатуу</t>
  </si>
  <si>
    <t>Башка транспорт каражаттарын сатуу</t>
  </si>
  <si>
    <t>Слесарь (Токарь)</t>
  </si>
  <si>
    <t xml:space="preserve">Сантехник </t>
  </si>
  <si>
    <t>Эмгек стаж (мамлекеттик /муницип. ж.б стаж)</t>
  </si>
  <si>
    <t>Бош турган имараттарга күзөтчү</t>
  </si>
  <si>
    <t>Айыл чарбасына жарактуу жерлердин мамлекеттик фондунун жерлерин иштетүү үчүн ижара акысы (ФПЗ)</t>
  </si>
  <si>
    <t>Жер казынасын пайдалануу укугуна лицензияны кармоо үчүн акы</t>
  </si>
  <si>
    <t>Институционалдык имаратарды сатуу</t>
  </si>
  <si>
    <t>Башка имараттарды сатуу</t>
  </si>
  <si>
    <t>Классификацияланбаган билим берүү жана маданият кызмат көрсөт. үчүн акы</t>
  </si>
  <si>
    <t xml:space="preserve">Маалымат берүү жана басып чыгаруу  боюнча классификацияланбаган кызмат көрсөтүүлөр акысы </t>
  </si>
  <si>
    <t>Кыргыз Республикасынын резиденттери-жеке жактардан алынуучу киреше салыгы</t>
  </si>
  <si>
    <t>Патенттин негизинде салык</t>
  </si>
  <si>
    <t>Турак жайга же жайга мүлк салыгы</t>
  </si>
  <si>
    <t>Турак жай эмес имаратка жана жайга мүлк салыгы</t>
  </si>
  <si>
    <t>Жанаша, короо жай жана багбанчылык-огород жер участокторуна мүлк салыгы</t>
  </si>
  <si>
    <t>Айыл чарба жерлерине тиешелүү жерлерге мүлк салыгы</t>
  </si>
  <si>
    <t>Калктуу конуштардын жерлерине жана айыл чарба багытында болбогон жерлерге мүлк салыгы</t>
  </si>
  <si>
    <t>Жергиликтуу бюджеттин башка жана болок салыктары</t>
  </si>
  <si>
    <t>Жайыт жерлерди пайдалануу үчүн жыйым</t>
  </si>
  <si>
    <t>Республикалык бюджеттен тушуучу каражат (максаттуу трансферттер)</t>
  </si>
  <si>
    <t xml:space="preserve">Коэффициент </t>
  </si>
  <si>
    <t>Үстөктөр жана кошумча акылар</t>
  </si>
  <si>
    <t>Эмгек өргү</t>
  </si>
  <si>
    <t>2 эмгек өргүүгө каралган даарылануучу жөлөк пул</t>
  </si>
  <si>
    <t>Премиялар</t>
  </si>
  <si>
    <t>13 эмгек акы</t>
  </si>
  <si>
    <t>Жол жана тамак аш чыгымдары</t>
  </si>
  <si>
    <t xml:space="preserve">Эмгек акы жылдык фонду </t>
  </si>
  <si>
    <t xml:space="preserve">Социалдык фондко төлөөгө </t>
  </si>
  <si>
    <t xml:space="preserve">Эмгек акы төлөмдөрүнүн жылдык фонду </t>
  </si>
  <si>
    <t>Иштин жашырын мүнөзү үчүн кошумча үстөктөр, 25%</t>
  </si>
  <si>
    <t>Жумуштун оордугуна кошумча төлөм,  25% (мэрия, кенеш), 10%  (структуралык мекемелер)</t>
  </si>
  <si>
    <t>КР Өкмөтү тарабынан кошулуучу бөлөк үстөктөр</t>
  </si>
  <si>
    <t>22-1</t>
  </si>
  <si>
    <t>20</t>
  </si>
  <si>
    <t>21</t>
  </si>
  <si>
    <t>22</t>
  </si>
  <si>
    <t>23</t>
  </si>
  <si>
    <t>24</t>
  </si>
  <si>
    <t>Жалал-Абад шаарынын мэриясынын алдындагы Аймактык башкармалыктардын штаттык ырааттамасы</t>
  </si>
  <si>
    <t>18</t>
  </si>
  <si>
    <t>19</t>
  </si>
  <si>
    <t>Жалал-Абад шаарынын  мэриясынын алдындагы Т.Тайгараев атындагы аймактык башкармалыктын штаттык ырааттамасы</t>
  </si>
  <si>
    <t>Мэриянын күзөтчүсү</t>
  </si>
  <si>
    <t>Автоунаа базардын парковщиктери</t>
  </si>
  <si>
    <t>Автоунаа базарга короо тазалоочу</t>
  </si>
  <si>
    <t>16</t>
  </si>
  <si>
    <t>17</t>
  </si>
  <si>
    <t>22-2</t>
  </si>
  <si>
    <t>22-3</t>
  </si>
  <si>
    <t>Жалал-Абад шаардык жолдор башкармалыгынын штаттык ырааттамасы</t>
  </si>
  <si>
    <t>Жумуштун оордугуна кошумча толом,  25% (мэрия, кенеш), 10%  (структуралык мекемелер)</t>
  </si>
  <si>
    <t>Ширетүүчү</t>
  </si>
  <si>
    <t>Эксковатордун айдоочусу</t>
  </si>
  <si>
    <t>Асфальт төшөөчү техниканын айдоочусу</t>
  </si>
  <si>
    <t>ЗиЛ водовоздун айдоочусу (подмен)</t>
  </si>
  <si>
    <t>Асфальт төшөөчү жумушчулар</t>
  </si>
  <si>
    <t>15</t>
  </si>
  <si>
    <t>Жалал-Абад шаардык коммуналдык чарба департаментинин штаттык ырааттамасы</t>
  </si>
  <si>
    <t>Нөөмөт электрик</t>
  </si>
  <si>
    <t>Ширеткич</t>
  </si>
  <si>
    <t>Атайын автоунаа айдоочу</t>
  </si>
  <si>
    <t>Борбордук аянттын ж/а Мир к/т кароолчусу</t>
  </si>
  <si>
    <t>Мүрзөөнүн кароолчусу</t>
  </si>
  <si>
    <t>Бакчы</t>
  </si>
  <si>
    <t>Тазалык сактоочу</t>
  </si>
  <si>
    <t>Б. Сейил аллеясынын кароолчусу</t>
  </si>
  <si>
    <t>Жалал-Абад шаардык  жашылдандыруу жана көрктөндүрүү чарбасынын штаттык ырааттамасы</t>
  </si>
  <si>
    <t>Айдоочулар</t>
  </si>
  <si>
    <t>Жумушчу көрктөндүрүү</t>
  </si>
  <si>
    <t>Мезгилдүү жумушчу (9 айга)</t>
  </si>
  <si>
    <t xml:space="preserve">Парктарга кароолчу </t>
  </si>
  <si>
    <t>Скважинага оператор</t>
  </si>
  <si>
    <t>"Жалал-Абад тазалык" муниципалдык мекемесинин  атайын эсебинен штаттык ырааттамасы</t>
  </si>
  <si>
    <t>Жалал-Абад шаардык жаштар иштери, дене тарбия жана спорт бөлүмүнүн  штаттык ырааттамасы</t>
  </si>
  <si>
    <t>Жалал-Абад шаардык кайрымдуулук борборунун штаттык ыраатамасы</t>
  </si>
  <si>
    <t>Жалал-Абад шаардык ардагерлер кенешинин  штаттык ырааттамасы</t>
  </si>
  <si>
    <t>14</t>
  </si>
  <si>
    <t>Статья</t>
  </si>
  <si>
    <t>Иш чаранын аталышы</t>
  </si>
  <si>
    <t>Мэрия</t>
  </si>
  <si>
    <t>Маалымат борбору</t>
  </si>
  <si>
    <t>"Жалал-Абад тазалык" муниципалдык мекемесинин  бюджеттин эсебинен штаттык ырааттамасы</t>
  </si>
  <si>
    <t xml:space="preserve">Жалпы бир айлык эмгек акы </t>
  </si>
  <si>
    <t xml:space="preserve">Жалпы бир айлык эмгек акы 
</t>
  </si>
  <si>
    <t>Айдоочу (портер)</t>
  </si>
  <si>
    <t>КРМК 01.08.2022-ж №433, 27.04.2015-ж №258 токтомдору</t>
  </si>
  <si>
    <t>Жалал-Абад стелла кароолчусу</t>
  </si>
  <si>
    <t>Шакман автомашинасынын айдоочусу</t>
  </si>
  <si>
    <t xml:space="preserve">2026-жылга божомол </t>
  </si>
  <si>
    <t>2023-жылга факт</t>
  </si>
  <si>
    <t>Кыскартылган (кирешеге кошулган)
сумма</t>
  </si>
  <si>
    <t>Кошумча экономия 2</t>
  </si>
  <si>
    <t>Кошумча экономия комиссияда</t>
  </si>
  <si>
    <t>Кошумча суралган сумма</t>
  </si>
  <si>
    <t>Кошумча суралган сумма 2</t>
  </si>
  <si>
    <t>Комиссияда кыскартыган чыгымдар</t>
  </si>
  <si>
    <t>Комиссияда кошулган чыгымдар</t>
  </si>
  <si>
    <t>Сессияда кыскартылган</t>
  </si>
  <si>
    <t>Кыскартылуучу сумма</t>
  </si>
  <si>
    <t>Кошулуучу сумма</t>
  </si>
  <si>
    <t>Мезгилдүү бакчы (9 ай) арка</t>
  </si>
  <si>
    <t>Жумушчу (арка)</t>
  </si>
  <si>
    <t>Жалал-Абад шаарынын  мэриясынын алдындагы Таш-Булак аймактык башкармалыктын штаттык ырааттамасы</t>
  </si>
  <si>
    <t>2024-жылга такталган план</t>
  </si>
  <si>
    <t>2024-жылга бекитилген план</t>
  </si>
  <si>
    <t xml:space="preserve">Жалал-Абад шаарынын 2025-жылга карата мэрияга сунушталган долбооруна өзгөртүүлөр тизмеси
</t>
  </si>
  <si>
    <t>1 адамга</t>
  </si>
  <si>
    <t xml:space="preserve">Жалал-Абад шаарынын мэриясынын алдындагы Муниципиалдык мүлк башкармалыгынын  штаттык ырааттамасы  2025-ж </t>
  </si>
  <si>
    <t>Бюджет</t>
  </si>
  <si>
    <t>(2022-жылдын 1-августу ПЖ №266 ,  2022-жылдын 1-августу №433 )</t>
  </si>
  <si>
    <t>Эмгек өргүү</t>
  </si>
  <si>
    <t xml:space="preserve">Эмгек акы жана жылдык фонду </t>
  </si>
  <si>
    <t xml:space="preserve">Жалпы </t>
  </si>
  <si>
    <t>Кызматтык жайларды тазалоо</t>
  </si>
  <si>
    <t>Автоунаа базардын короо тазалоочу-күзөтчүсү</t>
  </si>
  <si>
    <t>Тазалоочу-Данек</t>
  </si>
  <si>
    <t>Күзөтчү-Данек</t>
  </si>
  <si>
    <t>(сом)</t>
  </si>
  <si>
    <t>Бирдиктердин саны.</t>
  </si>
  <si>
    <t>Коэффициент</t>
  </si>
  <si>
    <t>13-эмгек акы</t>
  </si>
  <si>
    <t xml:space="preserve">Социалдык фондко чегерүүлөр </t>
  </si>
  <si>
    <t>Автопарковщик</t>
  </si>
  <si>
    <t>"Жалал-Абад шаарынын  мэриясынын  Жер ресурстар  башкармалыгы" муниципалдык мекемесинин штаттык ырааттамасы</t>
  </si>
  <si>
    <t xml:space="preserve">Жалал-Абад шаарынын мэриясынын алдындагы Муниципиалдык мүлк башкармалыгынын штаттык ырааттамасы   2025-ж </t>
  </si>
  <si>
    <t>спец.счет</t>
  </si>
  <si>
    <t>Борбордук Базар</t>
  </si>
  <si>
    <t>Короо тазалагыч</t>
  </si>
  <si>
    <t>Күзөтчү</t>
  </si>
  <si>
    <t>Жалпы</t>
  </si>
  <si>
    <t xml:space="preserve">Строй Маркет </t>
  </si>
  <si>
    <t>Коро тазалоочу</t>
  </si>
  <si>
    <t>Шабдалы-Зар базары</t>
  </si>
  <si>
    <t xml:space="preserve">Күзөтчү </t>
  </si>
  <si>
    <t xml:space="preserve">Тазалоочу </t>
  </si>
  <si>
    <t>2025-жылга  Жалал-Абад  шаарынын  шаардык бюджетинин кирешелер боюнча долбоору жана 2026-2027 жылдарга божомолу</t>
  </si>
  <si>
    <t>2024-жылдын 12-айынын фактысы</t>
  </si>
  <si>
    <t>2025-жылга долбоор</t>
  </si>
  <si>
    <t xml:space="preserve">2027-жылга божомол </t>
  </si>
  <si>
    <t>КР ФМ сунушу</t>
  </si>
  <si>
    <t>Шаар долбоору</t>
  </si>
  <si>
    <t>Чекене сооданын негизинде салык салуунун жонокойлотулгон системасы боюнча салык</t>
  </si>
  <si>
    <t>Жергиликтүү маанидеги инфраструктураны өнүктүрүүгө жана күтүүгө чегерүүлөр</t>
  </si>
  <si>
    <t xml:space="preserve">Шаардык жер ресурстар башкармалыгы </t>
  </si>
  <si>
    <t>Муниципалдык мүлк башкармалыгы</t>
  </si>
  <si>
    <t>Курулуш базарынан түшүүчү киреше</t>
  </si>
  <si>
    <t>Жаны муниципалдык базар (Шабдалы-Зар)</t>
  </si>
  <si>
    <t>Жер ресурстары башкармалыгы</t>
  </si>
  <si>
    <t>Дагы башка мүлк ижарасы үчүн акы</t>
  </si>
  <si>
    <t>Дагы башка төлөмдөр (Сертификаттарды жана башка уруксат беруучу документтердин акысы)</t>
  </si>
  <si>
    <t>Жер ресурстары башкармалыгы, Муниципалдык мүлк башкармалыгы аркылуу чогултулган жыйымдар жана төлөмдөр</t>
  </si>
  <si>
    <t>Капиталдык жардам</t>
  </si>
  <si>
    <t>Теңдөөчү трансферттер (грант)</t>
  </si>
  <si>
    <t>Жергиликтүү бюджеттер арасында максаттуу трансферттер</t>
  </si>
  <si>
    <t>Т.Тайгараев атындагы МАБ</t>
  </si>
  <si>
    <t>М.Т.Конгантиев атындагы МАБ</t>
  </si>
  <si>
    <t>Жер ресурстар башкармалыгы</t>
  </si>
  <si>
    <t>Техникалык көзөмөл кызматына (үлүштүк каржылоо)</t>
  </si>
  <si>
    <t>Капиталдык крулуш департаменти</t>
  </si>
  <si>
    <t>Кирешеге кошумча план</t>
  </si>
  <si>
    <t>Мектептерге пандус курууга</t>
  </si>
  <si>
    <t>Ооган согушунун майыптарына төлөнүүчү каражат</t>
  </si>
  <si>
    <t>көмүр алууга</t>
  </si>
  <si>
    <t>Водоканал</t>
  </si>
  <si>
    <t>Көлгө барууга</t>
  </si>
  <si>
    <t>Кредит кайтарууга</t>
  </si>
  <si>
    <t>Электро котелду газга өткөрүүгө</t>
  </si>
  <si>
    <t>ГорОО мектептер</t>
  </si>
  <si>
    <t>Гүл алууга</t>
  </si>
  <si>
    <t>17,25% соц фонд карызын төлөө үчүн</t>
  </si>
  <si>
    <t>Салык төлөмдөрүнүн карызына</t>
  </si>
  <si>
    <t>Өткөн жылда өтпөй калган сумма</t>
  </si>
  <si>
    <t>Транспорттук кызмат акысына</t>
  </si>
  <si>
    <t>Жаңы форма алууга</t>
  </si>
  <si>
    <t>Музыкалык жабдууларды алууга</t>
  </si>
  <si>
    <t>Кап оңдоп-түзөө, унаа тетиктерине</t>
  </si>
  <si>
    <t>Темир тосмолорун орнотууга</t>
  </si>
  <si>
    <t>Сузак айланпасына сүрөт тартууга</t>
  </si>
  <si>
    <t>Дом пионерге эмеректерди алууга</t>
  </si>
  <si>
    <t>Муниципалдык автобаза</t>
  </si>
  <si>
    <t>Жыл башына калган калдык</t>
  </si>
  <si>
    <t>ДКС курулуш (переходящий кошо)</t>
  </si>
  <si>
    <t>Курулуш тизмеси (переходящий кошо)</t>
  </si>
  <si>
    <t>Жылдын мыкты мугалимине каралган каражаттан 1000,0 миң сом, 45,2 миң сом вывескаларды алмаштырууга каралган каражаттан кыскартуу</t>
  </si>
  <si>
    <t>Учурдагы оңдоп-түзөөгө каралган каражатты кыскартуу</t>
  </si>
  <si>
    <t>Күзөт кызматына каралган каражаттан кыскартуу</t>
  </si>
  <si>
    <t>Жабдууларга каралган каражаттарды кыскартуу</t>
  </si>
  <si>
    <t>ГорОО бала бакчалар</t>
  </si>
  <si>
    <t>Учурдагы чарбалык максаттар үчүн каралган каражатты кыскартуу</t>
  </si>
  <si>
    <t>Соц мекемелерди жарыктандырууга</t>
  </si>
  <si>
    <t>Салык башкармалыгы</t>
  </si>
  <si>
    <t>Салык төлөмдөрүнө (Шабдалы-Зар базарына)</t>
  </si>
  <si>
    <t>Курулуштарга каралган каражат</t>
  </si>
  <si>
    <t>Унаа базардын таштандысына төлөнүүчү каражат</t>
  </si>
  <si>
    <t>ЖЭУ карызы</t>
  </si>
  <si>
    <t>Данек имаратынын коопсуздугунун тарифи жогорулагандыгына байланыштуу</t>
  </si>
  <si>
    <t>Мебель базары кредитордук карыз</t>
  </si>
  <si>
    <t>Жол башкармалыгы</t>
  </si>
  <si>
    <t>Унаа базарына щебень төгүп, тегиздөөгө</t>
  </si>
  <si>
    <t>Киреше планын азайтуу</t>
  </si>
  <si>
    <t>Мал санакка кошумча (9 адамга кошумча)</t>
  </si>
  <si>
    <t>Кызматтык унааларды камсыздандыруу</t>
  </si>
  <si>
    <t>Турак эмес имараттын мүлк салыгы</t>
  </si>
  <si>
    <t>Барпы сейил №35   жери 28,4м2</t>
  </si>
  <si>
    <t>Ташиев Нурланбек Адилович ул. З.Жамашев 140,0м2</t>
  </si>
  <si>
    <t>Жабдууларды сатып алуу (прожектор, батарейка, диктофон ж.б.)</t>
  </si>
  <si>
    <t>Субсидияга бөлүнгөн каражатты кыскартуу</t>
  </si>
  <si>
    <t>Техникалык ката</t>
  </si>
  <si>
    <t>Эмгек стаж, чинге кошумча каражат</t>
  </si>
  <si>
    <t>анын ичинде</t>
  </si>
  <si>
    <t>Чыгашаларды азайтуу</t>
  </si>
  <si>
    <t>Жалал-Абад Тазалык</t>
  </si>
  <si>
    <t>Айлампаларды реконструкциялоого</t>
  </si>
  <si>
    <t>Жол белгилерин сатып алууга каралган каражаттан</t>
  </si>
  <si>
    <t>Көп кабаттуу үйлөрдү краскалоого</t>
  </si>
  <si>
    <t>Чарбалык буюмдарга каралган каражаттан</t>
  </si>
  <si>
    <t>Каналдарды тазалоого каралган каражаттан</t>
  </si>
  <si>
    <t>остаток</t>
  </si>
  <si>
    <t>кошумча курулушка</t>
  </si>
  <si>
    <t>депутаттар бекиткен</t>
  </si>
  <si>
    <t>Т2 боюнча</t>
  </si>
  <si>
    <t>пандус</t>
  </si>
  <si>
    <t>разница</t>
  </si>
  <si>
    <t>тех ошибка</t>
  </si>
  <si>
    <t>тех ошиб</t>
  </si>
  <si>
    <t>ГорОО - ДКС (свободные средства, т.к. 958,7 есть в 105 689,2)</t>
  </si>
  <si>
    <t>Курулушка</t>
  </si>
  <si>
    <t>Своб сред-ва</t>
  </si>
  <si>
    <t>Киреше салыгына кошумча план (турак жай, транспорт, тамарка )</t>
  </si>
  <si>
    <t>Фонд развития алынган (оформление спец.техники)</t>
  </si>
  <si>
    <t>Шаардык жолдор башкармалыгы</t>
  </si>
  <si>
    <t>Битум алууга</t>
  </si>
  <si>
    <t>Бекитүүгө сунушталган долбоор</t>
  </si>
  <si>
    <t>Биринчи долбоор</t>
  </si>
  <si>
    <t>Четтөө</t>
  </si>
  <si>
    <t>Элемент</t>
  </si>
  <si>
    <t xml:space="preserve">Киреше  булактарынын аталыштары. </t>
  </si>
  <si>
    <t>Шаардык жол башкармалыгы</t>
  </si>
  <si>
    <t>Киреше планын көбөйтүү</t>
  </si>
  <si>
    <t>Бала бакчалар</t>
  </si>
  <si>
    <t>Эмеректерди алууга</t>
  </si>
  <si>
    <t>2025-жылга Жалал-Абад  шаарынын  шаардык бюджетинин кирешелер боюнча такталган долбоору</t>
  </si>
  <si>
    <t>2025-жылга КР ФМ сунушу</t>
  </si>
  <si>
    <t>2025-жылга бекитилген  бюджет</t>
  </si>
  <si>
    <t>Айырма</t>
  </si>
  <si>
    <t>Кошумча суралган чыгымдар</t>
  </si>
  <si>
    <t>Жалал-Абад шаарынын мэриясы</t>
  </si>
  <si>
    <t>"Жалал-Абад Жылуулук" мекемеси</t>
  </si>
  <si>
    <t>"Жалал-Абад Тазалык" мекемеси</t>
  </si>
  <si>
    <t>Курманбек стадион</t>
  </si>
  <si>
    <t>Мектептен сырткаркы мекемелер</t>
  </si>
  <si>
    <t>Спутник аймактык башкармалыгы</t>
  </si>
  <si>
    <t>Бюджттин киреше бөлүгүн көбөйтүү</t>
  </si>
  <si>
    <t>Киреше бөлүгүнө кошумча план</t>
  </si>
  <si>
    <t>Жалал-Абад шаарынын  мэриясы</t>
  </si>
  <si>
    <t>2025-жылга такталган план 
(1-өзгөртүү)</t>
  </si>
  <si>
    <t>2025-жылга такталган план 
(2-өзгөртүү)</t>
  </si>
  <si>
    <t xml:space="preserve">Жалал-Абад шаарынын 2025-жылдагы бюджетине 2-өзгөртүүлөр боюнча түшүндүрмө каты
</t>
  </si>
  <si>
    <t>Жалал-Абад шаарынын 2025-жылдагы бюджетине 2-өзгөртүүлөр боюнча түшүндүрмө каты (атайын эсеп)</t>
  </si>
  <si>
    <t>Эмгек акы 20% көтөрүлгөндүгүнө байланыштуу</t>
  </si>
  <si>
    <t>Мамлекеттик сатып алуулар порталынан үнөмдөлгөн каражат</t>
  </si>
  <si>
    <t>Борбордук базарга учурдагы оңдоп-түзөө иштерине (пожарный шланг, прожектор ж.б.)</t>
  </si>
  <si>
    <t>Шабдалызар базарына учурдагы оңдоп-түзөө иштерине (электр буюмдары, цемент ж.б.)</t>
  </si>
  <si>
    <t>Шабдалызар базарынын тазалыгына (5 ай*6000с)</t>
  </si>
  <si>
    <t>Шабдалызар базарынын электр энергиясына (5 ай*8000с)</t>
  </si>
  <si>
    <t>Курулуш маркеттин чатырын оңдоого</t>
  </si>
  <si>
    <t>Курулуш маркетине дарбаза орнотууга 1 даана</t>
  </si>
  <si>
    <t>Эмерек базарына дарбаза орнотууга 1 даана</t>
  </si>
  <si>
    <t>Тайгараев МАБгы кызматтык үйлөргө эмерек жасатууга (9 даана*62200 с)</t>
  </si>
  <si>
    <t>Пожарный щит алууга (комплект) 5дааана*18500 с</t>
  </si>
  <si>
    <t>Эмгек акы 20%га көтөрүлгөнгө чейинки төлөм</t>
  </si>
  <si>
    <t>Эмгек акы 20%га көтөрүлгөндөн кийинки төлөм</t>
  </si>
  <si>
    <t>Газон оруучу аппарат алууга каралган каражат</t>
  </si>
  <si>
    <t>Эмгек акы (май айынын жумуш эмес күндөргө)</t>
  </si>
  <si>
    <t>Эмгек акы (август айынын жумуш эмес күндөргө)</t>
  </si>
  <si>
    <t>Кара топурак сатып алуу</t>
  </si>
  <si>
    <t>Т.Байзаков көчөсүндөгү автобекеттин маңдайындагы жашыл аймака суугаруу системасын орнотууга</t>
  </si>
  <si>
    <t>Ынтымак айланпасындагы жашыл аймактарды суугаруу системасын орнотууга</t>
  </si>
  <si>
    <t>Көркөм сүрөт мектептин жолунда 80м аралыка жашыл аймака суугаруу системасын орнотууга</t>
  </si>
  <si>
    <t>Маяковская көчөсүндөгү 220м аралыгына көчөттөрдү суугаруу системасын орнотууга</t>
  </si>
  <si>
    <t>Гүл челектер (шаар көчөлөрүнө суу түтүкчөлөрүн орнотууга)</t>
  </si>
  <si>
    <t>Газон сатып алууга</t>
  </si>
  <si>
    <t>Шаар көчөлөргө отургузулуучу көчөттөр</t>
  </si>
  <si>
    <t>Шаар ичиндеги негизги көчөлөргө отургузулуучу көчөттөр</t>
  </si>
  <si>
    <t>2026-жылга шаар көчөлөрүнө эгилүүчү гүл уруктар</t>
  </si>
  <si>
    <t>Мамлекеттик сатып алуулар боюнча окууга</t>
  </si>
  <si>
    <r>
      <t>Курманбек кичи шаарчасындагы Пушкин-150көчөсүнүн квартал-122 дарегиндеги Орус мектебине</t>
    </r>
    <r>
      <rPr>
        <b/>
        <sz val="11"/>
        <rFont val="Times New Roman"/>
        <family val="1"/>
        <charset val="204"/>
      </rPr>
      <t xml:space="preserve"> Чектелген аймакты өнүктүрүү Долбоору</t>
    </r>
  </si>
  <si>
    <t>Темир жол көчөсүндөгү 320,0 чарчы метр жердин курулушуна</t>
  </si>
  <si>
    <t>Интернет үчүн Хап сатып алуу 12даана*1500сом=18000сом</t>
  </si>
  <si>
    <t>В.Л.Крючкованын эмгек стажына кошумча  эсептөө (Санкции,пения) (Соц .фонд Салык кызматына)</t>
  </si>
  <si>
    <t>Кызматтык автоунаа-чыгымдалган бензиндин баасынан жетпеген айырмасы  75,0литр*3айга=225литр Бензиндин баасы(68сом50тыйын)-15,4мин сом</t>
  </si>
  <si>
    <t>Эмгек акы (майрам күндөрү иштеген үчүн жумушчуларга кошумча акы)</t>
  </si>
  <si>
    <t>GPS системасын орнотууга каралган каражат</t>
  </si>
  <si>
    <t>Навес курууга каралган каражат</t>
  </si>
  <si>
    <t>Киреше салыгынан карыз жана туумга төлөнүүчү каражат</t>
  </si>
  <si>
    <t>Кароолдор туруучу жай куруу</t>
  </si>
  <si>
    <t>Таштанды таштоочу контейнерлерди оңдоп-түзөөгө</t>
  </si>
  <si>
    <t>Соттун чечиминин негизинде 2 кызматкердин пенсиясын төлөөгө каралган каражат</t>
  </si>
  <si>
    <t>Эмгек техникалык инспециясынын талабына ылайык, кызматкерге эмгек зыянын ордун толтуруу</t>
  </si>
  <si>
    <t>Кадастрдын кызмат акысына (Келишимдин негизинде)</t>
  </si>
  <si>
    <t>Шаардык Архитектура кызмат акысына (келишимдин негизинде )</t>
  </si>
  <si>
    <t>Темир жол көчөсүндөгү 320,0 чарчы метр жерди сатып алуу</t>
  </si>
  <si>
    <t>Күйүүчү май сатып алууга (78,6 с * 20000 л)</t>
  </si>
  <si>
    <t>Кызыл-Суу айылындагы МТЗ-80 тракторуна тетиктерди сатып алууга</t>
  </si>
  <si>
    <t>ПСД жасатууга</t>
  </si>
  <si>
    <t>АБЗнун трансформаторун оңдоого</t>
  </si>
  <si>
    <t>АБЗна керектелүүчү тетиктер</t>
  </si>
  <si>
    <t>Е-Кызмат АМСын техникалык колдоо боюнча кызмат үчүн</t>
  </si>
  <si>
    <t>Мекеменин тосмолорун сырдоо үчүн</t>
  </si>
  <si>
    <t>Кызматтык унаанын тетиктерине</t>
  </si>
  <si>
    <t>Интернет байланыш кызматына</t>
  </si>
  <si>
    <t>Интернет байланышына 6 даана (хап)</t>
  </si>
  <si>
    <t>Дене-тарбия жана спорт бөлүму</t>
  </si>
  <si>
    <t>Ардагерлер кеңеши</t>
  </si>
  <si>
    <t>Электр энергиясына акы төлөө</t>
  </si>
  <si>
    <t>Спорттук мелдештерге</t>
  </si>
  <si>
    <t>Спортсмендерди сыйлоого каралган каражатты спорттук мелдештерге жылдыруу</t>
  </si>
  <si>
    <t>Шаардык кеңеш</t>
  </si>
  <si>
    <t>ЭЦП жаңылоого</t>
  </si>
  <si>
    <t>Стенд даярдоого</t>
  </si>
  <si>
    <t>"Алтын-Балалык" лагери</t>
  </si>
  <si>
    <t>М.Т. Конгантиев МАБ жашоочулары тарабынан чогултулган үлүштүк салым (Долбоордун иш-кагаздарын (ПСД) даярдоого)</t>
  </si>
  <si>
    <t>Күйүүчү май кымбаттагындыгына байланыштуу</t>
  </si>
  <si>
    <t>№21 ОМ электрикалык зымдарын оңдоого</t>
  </si>
  <si>
    <t>№1 ОМ короосунда жайгашкан трансформаторго электр зымдарын туташтырууга</t>
  </si>
  <si>
    <t>Бала бакчаларга жана мектептен сырткаркы мекемелерге жылдыруу</t>
  </si>
  <si>
    <t>4-кварталга тамак ашка (льготниктер)</t>
  </si>
  <si>
    <t>Саркынды каналдарын тазалоого (септик, канализация)</t>
  </si>
  <si>
    <t>№17 бала бакчанын электрикалык зымдарын оңдоого</t>
  </si>
  <si>
    <t>Сууга кошумча акы (мектептерден жылдырылган)</t>
  </si>
  <si>
    <t>№21 бала бакчанын печкасын оңдоого</t>
  </si>
  <si>
    <t>№8 бала бакчага вентиляция орнотууга</t>
  </si>
  <si>
    <t>№12 бала бакчага плита алууга (6 конфорочный)</t>
  </si>
  <si>
    <t>№6 бала бакчанын техникалык шарттарына</t>
  </si>
  <si>
    <t>№9 бала бакчанын жылытуу системасынын отказанын алмаштырууга</t>
  </si>
  <si>
    <t>Жаңы имаратка көчкөндүгүнө байланыштуу интернет улоого (Ариет)</t>
  </si>
  <si>
    <t>Робототехникага тетиктерди алууга</t>
  </si>
  <si>
    <t>Конкурстарга кийимдерди алууга</t>
  </si>
  <si>
    <t>Брусчатка чыгарууга каралган каражат</t>
  </si>
  <si>
    <t>Көп кабаттуу үйлөрдү сырдоого</t>
  </si>
  <si>
    <t>Светофорлорду реконструкциялоого</t>
  </si>
  <si>
    <t>31-августка карата каралган каражаттардан унөмдөлгөн каражат</t>
  </si>
  <si>
    <t>Жалал-Абад  шаарындагы Маяковский көчөсүнө көпүрө куруу иштерин аягына чыгаруу</t>
  </si>
  <si>
    <t>Жалал-Абад шаарындагы Могол көчөсүндөгү коп кабаттуу үйлөргө откана куруу иштерин аягына чыгаруу</t>
  </si>
  <si>
    <t>№3 Ж.Бакиев атындагы орто мектептин отканасын газ менен жылытуучу отканага алмаштыруу</t>
  </si>
  <si>
    <t>Жалал-Абад шаарынын Пушкин көчөсүнөдөгү 150А дарегине 1224 орундуу мектепке сырткы электр жабдуулар тармактарын куруу иштерин аягына чыгаруу</t>
  </si>
  <si>
    <t>1200 орунду мектепке интернет тартууга</t>
  </si>
  <si>
    <t>Долбоорлорду ишке ашыруу бөлүмү</t>
  </si>
  <si>
    <t>Үнөмдөлгөн каражат</t>
  </si>
  <si>
    <t>Иш-кагаздарын архивке тапшырууга кошумча каражат</t>
  </si>
  <si>
    <t>Стеллага каралган каражат</t>
  </si>
  <si>
    <t>Гирлянда алууга каралган каражат</t>
  </si>
  <si>
    <t>Жаңы жыл майрамын өткөрүүгө</t>
  </si>
  <si>
    <t>Темир тосмолорду жасатууга</t>
  </si>
  <si>
    <t>Байрак алууга</t>
  </si>
  <si>
    <t>Итого</t>
  </si>
  <si>
    <t>АБЗнын түтүгүн көтөрүүгө (дымоход)</t>
  </si>
  <si>
    <t>ГСМ</t>
  </si>
  <si>
    <t>Битум БНД 60/90</t>
  </si>
  <si>
    <t>Көмүр алууга</t>
  </si>
  <si>
    <t>Газонду сууктан коргоо үчүн, чарбалык максаттар үчүн жабдууларды алуу</t>
  </si>
  <si>
    <t>Таштанды алууга кызмат акы</t>
  </si>
  <si>
    <t>Трансформаторлорду Жалал-Абад РЭСке өткөрүп берүү жана көз карандысыз баалоочуларга баалоого</t>
  </si>
  <si>
    <t>Мектеп, бала бакчаларадын трансформаторлорун Жалал-Абад РЭСке өткөрүп берүү жана көз карандысыз баалоочуларга баалоого</t>
  </si>
  <si>
    <t>Курулуштарга кошумча</t>
  </si>
  <si>
    <t>Шагыл төгүүгө</t>
  </si>
  <si>
    <t>Көчөлөрдү жарыктандырууга</t>
  </si>
  <si>
    <t>Жабдууларды алууга каралган каражат (микрофон, диктафон ж.б.)</t>
  </si>
  <si>
    <t>Видеокөзөмөл камераларын демонтаждоого</t>
  </si>
  <si>
    <t>Микротик алууга</t>
  </si>
  <si>
    <t>Мөөр алмаштыргууга</t>
  </si>
  <si>
    <t>Юстиция министрлигинен кайрадан каттоодон өтүүгө</t>
  </si>
  <si>
    <t>Автоунааны тех кароодон өткөрүү</t>
  </si>
  <si>
    <t>Хоз, канц товарларды алууга</t>
  </si>
  <si>
    <t>Чаң соргуч алууга</t>
  </si>
  <si>
    <t>Чет өлкө сапарларына каражат</t>
  </si>
  <si>
    <t>Ички сапар чыгашаларын, сырткы чыгашаларга жылдыруу</t>
  </si>
  <si>
    <t>Курманбек стадиону</t>
  </si>
  <si>
    <t>4 кызматтык автоунааны каттоого</t>
  </si>
  <si>
    <t>Күзөт кызматына</t>
  </si>
  <si>
    <t>Микротик сатып алууга</t>
  </si>
  <si>
    <t>Чарба буюмдарга кошумча каражат</t>
  </si>
  <si>
    <t>Сууга каралган каражат</t>
  </si>
  <si>
    <t>Чарба буюмдарга каралган каражат</t>
  </si>
  <si>
    <t>Шаардык музей</t>
  </si>
  <si>
    <t>Жаңы административдик имараттын электрэнергиясына 4 айга 500,0 миңден</t>
  </si>
  <si>
    <t>Жаңы административдик имараттын суу чыгымдарына 4 айга 20,0 миңден</t>
  </si>
  <si>
    <t>Мөөр, штамп алмаштыргууга</t>
  </si>
  <si>
    <t>МСК киреше бөлүгүнө кошумча план (киреше  салыгы)</t>
  </si>
  <si>
    <t>Киреше бөлүгүнө кошумча план ()</t>
  </si>
  <si>
    <t>Салют алууга</t>
  </si>
  <si>
    <t>Долбоорлорду даярдоого</t>
  </si>
  <si>
    <t>Кыш мезгилине туз жана кум алууга</t>
  </si>
  <si>
    <t>Пол жуучу аппарат (2 даана)</t>
  </si>
  <si>
    <t>Сахна жана LED экран сатып алууга</t>
  </si>
  <si>
    <t>МСУ мүчөлүк төлөм</t>
  </si>
  <si>
    <t>Максаттуу трансферттер</t>
  </si>
  <si>
    <t>Киреше бөлүгүнө кошумча план (парковка)</t>
  </si>
  <si>
    <t>Кирешелердин жоготууларын ордун толуктоо үчүн репсубликалык бюджеттен келген каражат</t>
  </si>
  <si>
    <t>Комиссиядагы өзгөртүүлөр</t>
  </si>
  <si>
    <t>Жыл ичинде иштетилбей турган каражаттар</t>
  </si>
  <si>
    <t>Кышкы атайын кийим сатып алууга</t>
  </si>
  <si>
    <t>№31 бала бакчанын учурдагы ремонтуна</t>
  </si>
  <si>
    <t>№19 ОМ оңдоп-түзөө иштерин аягына чыгарууга</t>
  </si>
  <si>
    <t>Доска алууга</t>
  </si>
  <si>
    <t>Лоток алууга</t>
  </si>
  <si>
    <t>Чарбалык максаттар үчүн</t>
  </si>
  <si>
    <t>Тамак аш азыктарын алууга</t>
  </si>
  <si>
    <t>Комиссияда кошулган сумма</t>
  </si>
  <si>
    <t>Идиш аяк</t>
  </si>
  <si>
    <t>Темир шкаф</t>
  </si>
  <si>
    <t>Цветной принтер алууга</t>
  </si>
  <si>
    <t>"Ариет" балдар чыгармачылык борборуна атайын эсеп ачуу</t>
  </si>
  <si>
    <t>Офистик жабдууларды алууга</t>
  </si>
  <si>
    <t>Холодильник алууга</t>
  </si>
  <si>
    <t>Мугалимдер күнүнө карата</t>
  </si>
  <si>
    <t>Эшиктерди алууга</t>
  </si>
  <si>
    <t>Сапар чыгымдарына кошумча каражат</t>
  </si>
  <si>
    <t>№3 ОМ газ акысына төлөм</t>
  </si>
  <si>
    <t>Газга каралган каражаты №3 мектепке жылдыруу</t>
  </si>
  <si>
    <t>бала бакчалардын газга каралган каражаты №3 мектепке жылдыруу</t>
  </si>
  <si>
    <t>Жол белгилерин орнотууга</t>
  </si>
  <si>
    <t>Шаардык кенештин 08.10.2025-жылдагы 
XVII сессиясынын 
№1-токтомуна 
№1-тиркеме</t>
  </si>
  <si>
    <t xml:space="preserve">Жооптуу катчы </t>
  </si>
  <si>
    <t>Осмонова Г.О.</t>
  </si>
  <si>
    <t>Шаардык кенештин 
08.10.2025-жылдагы 
XVII сессиясынын 
№1-токтомуна 
№2-тиркеме</t>
  </si>
  <si>
    <t>Жооптуу катчы</t>
  </si>
  <si>
    <t>Шаардык кенештин 
08.10.2025-жылдагы 
XVII сессиясынын 
№1-токтомуна 
№2а-тиркеме</t>
  </si>
  <si>
    <t>Шаардык кенештин 08.10.2025-жылдагы 
XVII сессиясынын 
№1-токтомуна 
№3-тиркеме</t>
  </si>
  <si>
    <t>Жооптуу катчы                                                                                                                                                                                        Осмонова Г.О.</t>
  </si>
  <si>
    <t>Шаардык кенештин 08.10.2025-жылдагы 
XVII сессиясынын 
№1-токтомуна 
№4-тиркеме</t>
  </si>
  <si>
    <t>Шаардык кенештин 08.10.2025-жылдагы 
XVII сессиясынын 
№1-токтомуна 
№5-тиркеме</t>
  </si>
  <si>
    <t>Жооптуу катчы                                                                                                                                                                                                 Осмонова Г.О.</t>
  </si>
  <si>
    <t>Шаардык кенештин 08.10.2025-жылдагы 
XVII сессиясынын 
№1-токтомуна 
№6-тиркеме</t>
  </si>
  <si>
    <t>Шаардык кенештин 08.10.2025-жылдагы 
XVII сессиясынын 
№1-токтомуна 
№7-тиркеме</t>
  </si>
  <si>
    <t>Жооптуу катчы                                                                          Осмонова Г.О.</t>
  </si>
  <si>
    <t>Шаардык кенештин 08.10.2025-жылдагы 
XVII сессиясынын 
№1-токтомуна 
№8-тиркеме</t>
  </si>
  <si>
    <t>Шаардык кенештин 08.10.2025-жылдагы 
XVII сессиясынын 
№1-токтомуна 
№9-тиркеме</t>
  </si>
  <si>
    <t xml:space="preserve">Жооптуу катчы                                                                                                 Осмонова Г.О. </t>
  </si>
  <si>
    <t>Шаардык кенештин 08.10.2025-жылдагы 
XVII сессиясынын 
№1-токтомуна 
№10-тиркеме</t>
  </si>
  <si>
    <t>Жооптуу катчы                                                                                                            Осмонова Г.О.</t>
  </si>
  <si>
    <t>Шаардык кенештин 08.10.2025-жылдагы 
XVII сессиясынын 
№1-токтомуна 
№10а-тиркеме</t>
  </si>
  <si>
    <t>Жооптуу катчы                                                                                                                                     Осмонова Г.О.</t>
  </si>
  <si>
    <t>Шаардык кенештин 08.10.2025-жылдагы 
XVII сессиясынын 
№1-токтомуна 
№11-тиркеме</t>
  </si>
  <si>
    <t>Шаардык кенештин 08.10.2025-жылдагы 
XVII сессиясынын 
№1-токтомуна 
№12-тиркеме</t>
  </si>
  <si>
    <t>Шаардык кенештин 08.10.2025-жылдагы 
XVII сессиясынын 
№1-токтомуна 
№12а-тиркеме</t>
  </si>
  <si>
    <t>Жооптуу катчы                                                                                                                                              Осмонова Г.О.</t>
  </si>
  <si>
    <t>Шаардык кенештин 08.10.2025-жылдагы 
XVII сессиясынын 
№1-токтомуна 
№13-тиркеме</t>
  </si>
  <si>
    <t>Шаардык кенештин 08.10.2025-жылдагы 
XVII сессиясынын 
№1-токтомуна 
№14-тиркеме</t>
  </si>
  <si>
    <t>Шаардык кенештин 08.10.2025-жылдагы 
XVII сессиясынын 
№1-токтомуна 
№15-тиркеме</t>
  </si>
  <si>
    <t>Шаардык кенештин 08.10.2025-жылдагы 
XVII сессиясынын 
№1-токтомуна 
№16-тиркеме</t>
  </si>
  <si>
    <t>№7 ОМ телевизор жана интерактив доска алууга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</si>
</sst>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р_._-;\-* #,##0.00_р_._-;_-* &quot;-&quot;??_р_._-;_-@_-"/>
    <numFmt numFmtId="165" formatCode="#,##0.0"/>
    <numFmt numFmtId="166" formatCode="0.0"/>
    <numFmt numFmtId="167" formatCode="_-* #,##0_р_._-;\-* #,##0_р_._-;_-* &quot;-&quot;??_р_._-;_-@"/>
    <numFmt numFmtId="168" formatCode="#,##0_ ;\-#,##0\ "/>
  </numFmts>
  <fonts count="58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 CE"/>
      <family val="1"/>
      <charset val="238"/>
    </font>
    <font>
      <b/>
      <sz val="10"/>
      <name val="Times New Roman CE"/>
      <charset val="204"/>
    </font>
    <font>
      <sz val="10"/>
      <name val="Times New Roman CE"/>
      <charset val="204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i/>
      <sz val="10"/>
      <name val="Times New Roman CE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Arial Cyr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i/>
      <sz val="10"/>
      <color theme="1"/>
      <name val="Times New Roman CE"/>
      <charset val="204"/>
    </font>
    <font>
      <b/>
      <sz val="10"/>
      <color theme="1"/>
      <name val="Times New Roman CE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70C0"/>
      <name val="Times New Roman"/>
      <family val="1"/>
      <charset val="204"/>
    </font>
    <font>
      <sz val="8"/>
      <name val="Arial Cyr"/>
      <charset val="204"/>
    </font>
    <font>
      <sz val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Times New Roman CE"/>
      <family val="1"/>
      <charset val="204"/>
    </font>
    <font>
      <b/>
      <sz val="10"/>
      <name val="Times New Roman CE"/>
      <family val="1"/>
      <charset val="204"/>
    </font>
    <font>
      <b/>
      <sz val="11"/>
      <name val="Times New Roman"/>
      <family val="1"/>
      <charset val="204"/>
    </font>
    <font>
      <b/>
      <sz val="10"/>
      <color theme="1"/>
      <name val="Calibri"/>
      <family val="2"/>
      <scheme val="minor"/>
    </font>
    <font>
      <sz val="10"/>
      <name val="Arimo"/>
    </font>
    <font>
      <sz val="11"/>
      <color rgb="FFFF0000"/>
      <name val="Calibri"/>
      <family val="2"/>
      <charset val="204"/>
    </font>
    <font>
      <b/>
      <sz val="11"/>
      <name val="Calibri"/>
      <family val="2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color rgb="FF0070C0"/>
      <name val="Times New Roman"/>
      <family val="1"/>
      <charset val="204"/>
    </font>
    <font>
      <i/>
      <sz val="10"/>
      <name val="Times New Roman CE"/>
      <family val="1"/>
      <charset val="204"/>
    </font>
    <font>
      <i/>
      <sz val="10"/>
      <color theme="1"/>
      <name val="Times New Roman CE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0"/>
      <name val="Arial Cyr"/>
      <charset val="204"/>
    </font>
    <font>
      <b/>
      <sz val="10"/>
      <color theme="1"/>
      <name val="Times New Roman CE"/>
      <family val="1"/>
      <charset val="204"/>
    </font>
    <font>
      <sz val="10"/>
      <color theme="1"/>
      <name val="Times New Roman CE"/>
      <charset val="204"/>
    </font>
    <font>
      <sz val="10"/>
      <color theme="1"/>
      <name val="Times New Roman CE"/>
      <family val="1"/>
      <charset val="204"/>
    </font>
    <font>
      <i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0"/>
      <color rgb="FFFF0000"/>
      <name val="Arial Cyr"/>
      <charset val="204"/>
    </font>
    <font>
      <b/>
      <sz val="10"/>
      <color rgb="FFFF0000"/>
      <name val="Arial Cyr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6" fillId="0" borderId="0"/>
    <xf numFmtId="0" fontId="2" fillId="0" borderId="0"/>
    <xf numFmtId="0" fontId="21" fillId="0" borderId="0"/>
    <xf numFmtId="0" fontId="1" fillId="0" borderId="0"/>
    <xf numFmtId="9" fontId="3" fillId="0" borderId="0" applyFont="0" applyFill="0" applyBorder="0" applyAlignment="0" applyProtection="0"/>
    <xf numFmtId="0" fontId="1" fillId="0" borderId="0"/>
    <xf numFmtId="9" fontId="29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83">
    <xf numFmtId="0" fontId="0" fillId="0" borderId="0" xfId="0"/>
    <xf numFmtId="3" fontId="4" fillId="0" borderId="0" xfId="0" applyNumberFormat="1" applyFont="1" applyAlignment="1">
      <alignment horizontal="right"/>
    </xf>
    <xf numFmtId="0" fontId="10" fillId="0" borderId="0" xfId="1" applyFont="1"/>
    <xf numFmtId="0" fontId="4" fillId="0" borderId="0" xfId="0" applyFont="1" applyAlignment="1">
      <alignment horizontal="right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right"/>
    </xf>
    <xf numFmtId="165" fontId="11" fillId="0" borderId="2" xfId="0" applyNumberFormat="1" applyFont="1" applyBorder="1"/>
    <xf numFmtId="0" fontId="10" fillId="0" borderId="2" xfId="0" applyFont="1" applyBorder="1"/>
    <xf numFmtId="0" fontId="10" fillId="0" borderId="0" xfId="0" applyFont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vertical="center"/>
    </xf>
    <xf numFmtId="3" fontId="11" fillId="0" borderId="0" xfId="0" applyNumberFormat="1" applyFont="1" applyAlignment="1">
      <alignment horizontal="right"/>
    </xf>
    <xf numFmtId="0" fontId="12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left"/>
    </xf>
    <xf numFmtId="0" fontId="12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/>
    </xf>
    <xf numFmtId="0" fontId="11" fillId="0" borderId="0" xfId="1" applyFont="1" applyAlignment="1">
      <alignment horizontal="right"/>
    </xf>
    <xf numFmtId="0" fontId="13" fillId="0" borderId="0" xfId="0" applyFont="1"/>
    <xf numFmtId="165" fontId="13" fillId="0" borderId="0" xfId="0" applyNumberFormat="1" applyFont="1"/>
    <xf numFmtId="0" fontId="10" fillId="0" borderId="2" xfId="0" applyFont="1" applyBorder="1" applyAlignment="1">
      <alignment horizontal="center"/>
    </xf>
    <xf numFmtId="0" fontId="14" fillId="0" borderId="0" xfId="0" applyFont="1"/>
    <xf numFmtId="165" fontId="0" fillId="0" borderId="0" xfId="0" applyNumberFormat="1"/>
    <xf numFmtId="166" fontId="0" fillId="0" borderId="0" xfId="0" applyNumberFormat="1"/>
    <xf numFmtId="0" fontId="11" fillId="0" borderId="2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wrapText="1"/>
    </xf>
    <xf numFmtId="0" fontId="11" fillId="0" borderId="2" xfId="1" applyFont="1" applyBorder="1" applyAlignment="1">
      <alignment horizontal="center"/>
    </xf>
    <xf numFmtId="0" fontId="15" fillId="0" borderId="2" xfId="1" applyFont="1" applyBorder="1"/>
    <xf numFmtId="0" fontId="17" fillId="0" borderId="2" xfId="1" applyFont="1" applyBorder="1"/>
    <xf numFmtId="0" fontId="11" fillId="0" borderId="2" xfId="1" applyFont="1" applyBorder="1" applyAlignment="1">
      <alignment horizontal="left" vertical="center" wrapText="1"/>
    </xf>
    <xf numFmtId="1" fontId="4" fillId="0" borderId="2" xfId="1" applyNumberFormat="1" applyFont="1" applyBorder="1"/>
    <xf numFmtId="165" fontId="11" fillId="0" borderId="2" xfId="1" applyNumberFormat="1" applyFont="1" applyBorder="1"/>
    <xf numFmtId="165" fontId="22" fillId="0" borderId="2" xfId="1" applyNumberFormat="1" applyFont="1" applyBorder="1"/>
    <xf numFmtId="165" fontId="4" fillId="0" borderId="2" xfId="1" applyNumberFormat="1" applyFont="1" applyBorder="1"/>
    <xf numFmtId="0" fontId="13" fillId="0" borderId="2" xfId="0" applyFont="1" applyBorder="1"/>
    <xf numFmtId="0" fontId="11" fillId="0" borderId="2" xfId="1" applyFont="1" applyBorder="1"/>
    <xf numFmtId="0" fontId="10" fillId="0" borderId="2" xfId="1" applyFont="1" applyBorder="1"/>
    <xf numFmtId="0" fontId="18" fillId="0" borderId="2" xfId="1" applyFont="1" applyBorder="1" applyAlignment="1">
      <alignment horizontal="center"/>
    </xf>
    <xf numFmtId="165" fontId="18" fillId="0" borderId="2" xfId="1" applyNumberFormat="1" applyFont="1" applyBorder="1"/>
    <xf numFmtId="165" fontId="23" fillId="0" borderId="2" xfId="1" applyNumberFormat="1" applyFont="1" applyBorder="1"/>
    <xf numFmtId="165" fontId="8" fillId="0" borderId="2" xfId="1" applyNumberFormat="1" applyFont="1" applyBorder="1"/>
    <xf numFmtId="0" fontId="11" fillId="0" borderId="2" xfId="1" applyFont="1" applyBorder="1" applyAlignment="1">
      <alignment wrapText="1"/>
    </xf>
    <xf numFmtId="165" fontId="6" fillId="0" borderId="2" xfId="1" applyNumberFormat="1" applyFont="1" applyBorder="1" applyAlignment="1">
      <alignment horizontal="center"/>
    </xf>
    <xf numFmtId="0" fontId="18" fillId="0" borderId="2" xfId="1" applyFont="1" applyBorder="1" applyAlignment="1">
      <alignment horizontal="center" wrapText="1"/>
    </xf>
    <xf numFmtId="0" fontId="19" fillId="0" borderId="2" xfId="1" applyFont="1" applyBorder="1"/>
    <xf numFmtId="165" fontId="24" fillId="0" borderId="2" xfId="1" applyNumberFormat="1" applyFont="1" applyBorder="1"/>
    <xf numFmtId="165" fontId="9" fillId="0" borderId="2" xfId="1" applyNumberFormat="1" applyFont="1" applyBorder="1"/>
    <xf numFmtId="0" fontId="15" fillId="0" borderId="2" xfId="1" applyFont="1" applyBorder="1" applyAlignment="1">
      <alignment vertical="center"/>
    </xf>
    <xf numFmtId="0" fontId="4" fillId="0" borderId="2" xfId="1" applyFont="1" applyBorder="1" applyAlignment="1">
      <alignment horizontal="left" vertical="center"/>
    </xf>
    <xf numFmtId="0" fontId="6" fillId="0" borderId="9" xfId="1" applyFont="1" applyBorder="1" applyAlignment="1">
      <alignment horizontal="center" vertical="center"/>
    </xf>
    <xf numFmtId="0" fontId="6" fillId="0" borderId="2" xfId="1" applyFont="1" applyBorder="1" applyAlignment="1">
      <alignment horizontal="left" vertical="center"/>
    </xf>
    <xf numFmtId="0" fontId="10" fillId="0" borderId="2" xfId="1" applyFont="1" applyBorder="1" applyAlignment="1">
      <alignment wrapText="1"/>
    </xf>
    <xf numFmtId="165" fontId="12" fillId="0" borderId="2" xfId="0" applyNumberFormat="1" applyFont="1" applyBorder="1"/>
    <xf numFmtId="0" fontId="10" fillId="0" borderId="3" xfId="1" applyFont="1" applyBorder="1" applyAlignment="1">
      <alignment horizontal="center"/>
    </xf>
    <xf numFmtId="165" fontId="5" fillId="0" borderId="2" xfId="1" applyNumberFormat="1" applyFont="1" applyBorder="1"/>
    <xf numFmtId="165" fontId="5" fillId="0" borderId="4" xfId="1" applyNumberFormat="1" applyFont="1" applyBorder="1"/>
    <xf numFmtId="0" fontId="18" fillId="0" borderId="3" xfId="1" applyFont="1" applyBorder="1"/>
    <xf numFmtId="0" fontId="11" fillId="0" borderId="3" xfId="1" applyFont="1" applyBorder="1"/>
    <xf numFmtId="165" fontId="13" fillId="0" borderId="2" xfId="0" applyNumberFormat="1" applyFont="1" applyBorder="1"/>
    <xf numFmtId="0" fontId="7" fillId="0" borderId="3" xfId="1" applyFont="1" applyBorder="1" applyAlignment="1">
      <alignment horizontal="center"/>
    </xf>
    <xf numFmtId="0" fontId="28" fillId="0" borderId="0" xfId="0" applyFont="1"/>
    <xf numFmtId="0" fontId="10" fillId="0" borderId="2" xfId="5" applyFont="1" applyBorder="1" applyAlignment="1">
      <alignment horizontal="center" vertical="center" wrapText="1"/>
    </xf>
    <xf numFmtId="0" fontId="11" fillId="0" borderId="2" xfId="5" applyFont="1" applyBorder="1" applyAlignment="1">
      <alignment horizontal="center" vertical="center" wrapText="1"/>
    </xf>
    <xf numFmtId="1" fontId="11" fillId="0" borderId="2" xfId="5" applyNumberFormat="1" applyFont="1" applyBorder="1" applyAlignment="1">
      <alignment horizontal="right" vertical="center" wrapText="1"/>
    </xf>
    <xf numFmtId="9" fontId="11" fillId="0" borderId="2" xfId="8" applyFont="1" applyFill="1" applyBorder="1" applyAlignment="1">
      <alignment horizontal="right" vertical="center" wrapText="1"/>
    </xf>
    <xf numFmtId="1" fontId="11" fillId="0" borderId="2" xfId="10" applyNumberFormat="1" applyFont="1" applyFill="1" applyBorder="1" applyAlignment="1">
      <alignment horizontal="right" vertical="center" wrapText="1"/>
    </xf>
    <xf numFmtId="1" fontId="11" fillId="0" borderId="2" xfId="2" applyNumberFormat="1" applyFont="1" applyFill="1" applyBorder="1" applyAlignment="1">
      <alignment horizontal="right" vertical="center"/>
    </xf>
    <xf numFmtId="2" fontId="15" fillId="0" borderId="2" xfId="2" applyNumberFormat="1" applyFont="1" applyFill="1" applyBorder="1" applyAlignment="1">
      <alignment horizontal="right" vertical="center"/>
    </xf>
    <xf numFmtId="49" fontId="10" fillId="0" borderId="2" xfId="5" applyNumberFormat="1" applyFont="1" applyBorder="1" applyAlignment="1">
      <alignment horizontal="center" wrapText="1"/>
    </xf>
    <xf numFmtId="9" fontId="11" fillId="0" borderId="2" xfId="10" applyFont="1" applyFill="1" applyBorder="1" applyAlignment="1">
      <alignment horizontal="right" vertical="center" wrapText="1"/>
    </xf>
    <xf numFmtId="0" fontId="10" fillId="0" borderId="2" xfId="5" applyFont="1" applyBorder="1" applyAlignment="1">
      <alignment horizontal="right" vertical="center" wrapText="1"/>
    </xf>
    <xf numFmtId="0" fontId="11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/>
    </xf>
    <xf numFmtId="0" fontId="11" fillId="0" borderId="2" xfId="9" applyFont="1" applyBorder="1" applyAlignment="1">
      <alignment horizontal="center" vertical="center" wrapText="1"/>
    </xf>
    <xf numFmtId="0" fontId="11" fillId="0" borderId="2" xfId="9" applyFont="1" applyBorder="1" applyAlignment="1">
      <alignment horizontal="right" vertical="center" wrapText="1"/>
    </xf>
    <xf numFmtId="1" fontId="11" fillId="0" borderId="2" xfId="9" applyNumberFormat="1" applyFont="1" applyBorder="1" applyAlignment="1">
      <alignment horizontal="right" vertical="center" wrapText="1"/>
    </xf>
    <xf numFmtId="0" fontId="10" fillId="0" borderId="2" xfId="9" applyFont="1" applyBorder="1" applyAlignment="1">
      <alignment vertical="center" wrapText="1"/>
    </xf>
    <xf numFmtId="0" fontId="10" fillId="0" borderId="2" xfId="9" applyFont="1" applyBorder="1" applyAlignment="1">
      <alignment horizontal="right" vertical="center" wrapText="1"/>
    </xf>
    <xf numFmtId="1" fontId="10" fillId="0" borderId="2" xfId="9" applyNumberFormat="1" applyFont="1" applyBorder="1" applyAlignment="1">
      <alignment horizontal="right" vertical="center" wrapText="1"/>
    </xf>
    <xf numFmtId="49" fontId="11" fillId="0" borderId="2" xfId="9" applyNumberFormat="1" applyFont="1" applyBorder="1" applyAlignment="1">
      <alignment horizontal="left" vertical="center" wrapText="1"/>
    </xf>
    <xf numFmtId="3" fontId="11" fillId="0" borderId="2" xfId="9" applyNumberFormat="1" applyFont="1" applyBorder="1" applyAlignment="1">
      <alignment horizontal="right" vertical="center" wrapText="1"/>
    </xf>
    <xf numFmtId="1" fontId="28" fillId="0" borderId="0" xfId="0" applyNumberFormat="1" applyFont="1"/>
    <xf numFmtId="0" fontId="13" fillId="0" borderId="2" xfId="0" applyFont="1" applyBorder="1" applyAlignment="1">
      <alignment vertical="center"/>
    </xf>
    <xf numFmtId="2" fontId="11" fillId="0" borderId="2" xfId="0" applyNumberFormat="1" applyFont="1" applyBorder="1" applyAlignment="1">
      <alignment vertical="center"/>
    </xf>
    <xf numFmtId="9" fontId="11" fillId="0" borderId="2" xfId="10" applyFont="1" applyFill="1" applyBorder="1" applyAlignment="1">
      <alignment vertical="center" wrapText="1"/>
    </xf>
    <xf numFmtId="0" fontId="12" fillId="0" borderId="2" xfId="5" applyFont="1" applyBorder="1"/>
    <xf numFmtId="1" fontId="12" fillId="0" borderId="2" xfId="5" applyNumberFormat="1" applyFont="1" applyBorder="1" applyAlignment="1">
      <alignment horizontal="right" vertical="center"/>
    </xf>
    <xf numFmtId="0" fontId="15" fillId="0" borderId="2" xfId="0" applyFont="1" applyBorder="1" applyAlignment="1">
      <alignment horizontal="right" vertical="center"/>
    </xf>
    <xf numFmtId="9" fontId="13" fillId="0" borderId="2" xfId="0" applyNumberFormat="1" applyFont="1" applyBorder="1" applyAlignment="1">
      <alignment vertical="center"/>
    </xf>
    <xf numFmtId="1" fontId="13" fillId="0" borderId="2" xfId="0" applyNumberFormat="1" applyFont="1" applyBorder="1" applyAlignment="1">
      <alignment vertical="center"/>
    </xf>
    <xf numFmtId="166" fontId="15" fillId="0" borderId="5" xfId="0" applyNumberFormat="1" applyFont="1" applyBorder="1" applyAlignment="1">
      <alignment horizontal="right" vertical="center"/>
    </xf>
    <xf numFmtId="0" fontId="15" fillId="0" borderId="5" xfId="0" applyFont="1" applyBorder="1" applyAlignment="1">
      <alignment horizontal="right" vertical="center"/>
    </xf>
    <xf numFmtId="0" fontId="13" fillId="0" borderId="2" xfId="0" applyFont="1" applyBorder="1" applyAlignment="1">
      <alignment horizontal="right" vertical="center" wrapText="1"/>
    </xf>
    <xf numFmtId="2" fontId="13" fillId="0" borderId="2" xfId="0" applyNumberFormat="1" applyFont="1" applyBorder="1" applyAlignment="1">
      <alignment horizontal="right" vertical="center" wrapText="1"/>
    </xf>
    <xf numFmtId="1" fontId="13" fillId="0" borderId="2" xfId="0" applyNumberFormat="1" applyFont="1" applyBorder="1" applyAlignment="1">
      <alignment horizontal="right" vertical="center" wrapText="1"/>
    </xf>
    <xf numFmtId="0" fontId="12" fillId="0" borderId="2" xfId="0" applyFont="1" applyBorder="1" applyAlignment="1">
      <alignment horizontal="right" vertical="center" wrapText="1"/>
    </xf>
    <xf numFmtId="3" fontId="28" fillId="0" borderId="0" xfId="0" applyNumberFormat="1" applyFont="1"/>
    <xf numFmtId="0" fontId="11" fillId="0" borderId="0" xfId="0" applyFont="1" applyAlignment="1">
      <alignment horizontal="left"/>
    </xf>
    <xf numFmtId="2" fontId="11" fillId="0" borderId="2" xfId="2" applyNumberFormat="1" applyFont="1" applyFill="1" applyBorder="1" applyAlignment="1">
      <alignment horizontal="right" vertical="center" wrapText="1"/>
    </xf>
    <xf numFmtId="166" fontId="13" fillId="0" borderId="2" xfId="0" applyNumberFormat="1" applyFont="1" applyBorder="1" applyAlignment="1">
      <alignment horizontal="right" vertical="center" wrapText="1"/>
    </xf>
    <xf numFmtId="166" fontId="11" fillId="0" borderId="2" xfId="2" applyNumberFormat="1" applyFont="1" applyFill="1" applyBorder="1" applyAlignment="1">
      <alignment horizontal="right" vertical="center" wrapText="1"/>
    </xf>
    <xf numFmtId="0" fontId="11" fillId="0" borderId="2" xfId="0" applyFont="1" applyBorder="1" applyAlignment="1">
      <alignment horizontal="left" wrapText="1"/>
    </xf>
    <xf numFmtId="0" fontId="13" fillId="0" borderId="2" xfId="0" applyFont="1" applyBorder="1" applyAlignment="1">
      <alignment wrapText="1"/>
    </xf>
    <xf numFmtId="1" fontId="12" fillId="0" borderId="2" xfId="0" applyNumberFormat="1" applyFont="1" applyBorder="1" applyAlignment="1">
      <alignment horizontal="right" vertical="center" wrapText="1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9" fontId="11" fillId="0" borderId="0" xfId="10" applyFont="1" applyFill="1" applyBorder="1" applyAlignment="1">
      <alignment horizontal="right" vertical="center" wrapText="1"/>
    </xf>
    <xf numFmtId="9" fontId="11" fillId="0" borderId="2" xfId="8" applyFont="1" applyBorder="1" applyAlignment="1">
      <alignment horizontal="right" vertical="center" wrapText="1"/>
    </xf>
    <xf numFmtId="0" fontId="33" fillId="0" borderId="0" xfId="0" applyFont="1"/>
    <xf numFmtId="2" fontId="28" fillId="0" borderId="0" xfId="0" applyNumberFormat="1" applyFont="1"/>
    <xf numFmtId="0" fontId="10" fillId="0" borderId="2" xfId="5" applyFont="1" applyBorder="1" applyAlignment="1">
      <alignment horizontal="center" vertical="center" textRotation="90" wrapText="1"/>
    </xf>
    <xf numFmtId="0" fontId="10" fillId="0" borderId="0" xfId="0" applyFont="1" applyAlignment="1">
      <alignment horizontal="left"/>
    </xf>
    <xf numFmtId="0" fontId="34" fillId="0" borderId="0" xfId="0" applyFont="1" applyAlignment="1">
      <alignment horizontal="right"/>
    </xf>
    <xf numFmtId="3" fontId="34" fillId="0" borderId="0" xfId="0" applyNumberFormat="1" applyFont="1" applyAlignment="1">
      <alignment horizontal="right"/>
    </xf>
    <xf numFmtId="3" fontId="11" fillId="0" borderId="0" xfId="0" applyNumberFormat="1" applyFont="1"/>
    <xf numFmtId="166" fontId="28" fillId="0" borderId="0" xfId="0" applyNumberFormat="1" applyFont="1"/>
    <xf numFmtId="166" fontId="32" fillId="0" borderId="0" xfId="0" applyNumberFormat="1" applyFont="1"/>
    <xf numFmtId="1" fontId="11" fillId="0" borderId="2" xfId="9" applyNumberFormat="1" applyFont="1" applyBorder="1" applyAlignment="1">
      <alignment horizontal="right" vertical="center" wrapText="1" shrinkToFit="1"/>
    </xf>
    <xf numFmtId="0" fontId="10" fillId="0" borderId="2" xfId="9" applyFont="1" applyBorder="1" applyAlignment="1">
      <alignment horizontal="center" vertical="center" wrapText="1"/>
    </xf>
    <xf numFmtId="49" fontId="10" fillId="0" borderId="2" xfId="9" applyNumberFormat="1" applyFont="1" applyBorder="1" applyAlignment="1">
      <alignment horizontal="center" vertical="center" wrapText="1"/>
    </xf>
    <xf numFmtId="0" fontId="10" fillId="0" borderId="2" xfId="9" applyFont="1" applyBorder="1" applyAlignment="1">
      <alignment horizontal="center" vertical="center" textRotation="90" wrapText="1"/>
    </xf>
    <xf numFmtId="2" fontId="10" fillId="0" borderId="2" xfId="9" applyNumberFormat="1" applyFont="1" applyBorder="1" applyAlignment="1">
      <alignment horizontal="right" vertical="center" wrapText="1"/>
    </xf>
    <xf numFmtId="2" fontId="11" fillId="0" borderId="2" xfId="9" applyNumberFormat="1" applyFont="1" applyBorder="1" applyAlignment="1">
      <alignment horizontal="right" vertical="center" wrapText="1"/>
    </xf>
    <xf numFmtId="9" fontId="11" fillId="0" borderId="2" xfId="9" applyNumberFormat="1" applyFont="1" applyBorder="1" applyAlignment="1">
      <alignment horizontal="right" vertical="center" wrapText="1"/>
    </xf>
    <xf numFmtId="0" fontId="11" fillId="0" borderId="2" xfId="9" applyFont="1" applyBorder="1" applyAlignment="1">
      <alignment horizontal="right" vertical="center"/>
    </xf>
    <xf numFmtId="3" fontId="10" fillId="0" borderId="2" xfId="9" applyNumberFormat="1" applyFont="1" applyBorder="1" applyAlignment="1">
      <alignment horizontal="right" vertical="center" wrapText="1"/>
    </xf>
    <xf numFmtId="0" fontId="11" fillId="0" borderId="0" xfId="9" applyFont="1" applyAlignment="1">
      <alignment horizontal="center" vertical="center" wrapText="1"/>
    </xf>
    <xf numFmtId="0" fontId="11" fillId="0" borderId="0" xfId="9" applyFont="1" applyAlignment="1">
      <alignment horizontal="right" vertical="center" wrapText="1"/>
    </xf>
    <xf numFmtId="1" fontId="11" fillId="0" borderId="0" xfId="9" applyNumberFormat="1" applyFont="1" applyAlignment="1">
      <alignment horizontal="right" vertical="center" wrapText="1" shrinkToFit="1"/>
    </xf>
    <xf numFmtId="1" fontId="11" fillId="0" borderId="0" xfId="9" applyNumberFormat="1" applyFont="1" applyAlignment="1">
      <alignment horizontal="right" vertical="center" wrapText="1"/>
    </xf>
    <xf numFmtId="3" fontId="11" fillId="0" borderId="0" xfId="9" applyNumberFormat="1" applyFont="1" applyAlignment="1">
      <alignment horizontal="right" vertical="center" wrapText="1"/>
    </xf>
    <xf numFmtId="1" fontId="10" fillId="0" borderId="2" xfId="9" applyNumberFormat="1" applyFont="1" applyBorder="1" applyAlignment="1">
      <alignment vertical="center" wrapText="1"/>
    </xf>
    <xf numFmtId="0" fontId="11" fillId="0" borderId="2" xfId="9" applyFont="1" applyBorder="1" applyAlignment="1">
      <alignment vertical="center" wrapText="1"/>
    </xf>
    <xf numFmtId="1" fontId="11" fillId="0" borderId="2" xfId="9" applyNumberFormat="1" applyFont="1" applyBorder="1" applyAlignment="1">
      <alignment vertical="center" wrapText="1"/>
    </xf>
    <xf numFmtId="3" fontId="11" fillId="0" borderId="2" xfId="9" applyNumberFormat="1" applyFont="1" applyBorder="1" applyAlignment="1">
      <alignment vertical="center" wrapText="1"/>
    </xf>
    <xf numFmtId="4" fontId="11" fillId="0" borderId="2" xfId="9" applyNumberFormat="1" applyFont="1" applyBorder="1" applyAlignment="1">
      <alignment horizontal="right" vertical="center" wrapText="1"/>
    </xf>
    <xf numFmtId="3" fontId="10" fillId="0" borderId="2" xfId="9" applyNumberFormat="1" applyFont="1" applyBorder="1" applyAlignment="1">
      <alignment vertical="center" wrapText="1"/>
    </xf>
    <xf numFmtId="3" fontId="13" fillId="0" borderId="2" xfId="0" applyNumberFormat="1" applyFont="1" applyBorder="1" applyAlignment="1">
      <alignment horizontal="right" vertical="center" wrapText="1"/>
    </xf>
    <xf numFmtId="3" fontId="12" fillId="0" borderId="2" xfId="0" applyNumberFormat="1" applyFont="1" applyBorder="1" applyAlignment="1">
      <alignment horizontal="right" vertical="center" wrapText="1"/>
    </xf>
    <xf numFmtId="1" fontId="10" fillId="0" borderId="2" xfId="9" applyNumberFormat="1" applyFont="1" applyBorder="1" applyAlignment="1">
      <alignment horizontal="center" vertical="center" wrapText="1"/>
    </xf>
    <xf numFmtId="49" fontId="10" fillId="0" borderId="0" xfId="9" applyNumberFormat="1" applyFont="1" applyAlignment="1">
      <alignment horizontal="center" wrapText="1"/>
    </xf>
    <xf numFmtId="0" fontId="11" fillId="0" borderId="2" xfId="9" applyFont="1" applyBorder="1" applyAlignment="1">
      <alignment vertical="center" wrapText="1" shrinkToFit="1"/>
    </xf>
    <xf numFmtId="0" fontId="10" fillId="0" borderId="0" xfId="9" applyFont="1" applyAlignment="1">
      <alignment horizontal="center" vertical="center" textRotation="90" wrapText="1"/>
    </xf>
    <xf numFmtId="1" fontId="10" fillId="0" borderId="0" xfId="9" applyNumberFormat="1" applyFont="1" applyAlignment="1">
      <alignment horizontal="right" vertical="center" wrapText="1"/>
    </xf>
    <xf numFmtId="165" fontId="22" fillId="2" borderId="2" xfId="1" applyNumberFormat="1" applyFont="1" applyFill="1" applyBorder="1"/>
    <xf numFmtId="165" fontId="20" fillId="4" borderId="2" xfId="0" applyNumberFormat="1" applyFont="1" applyFill="1" applyBorder="1" applyAlignment="1">
      <alignment wrapText="1"/>
    </xf>
    <xf numFmtId="165" fontId="13" fillId="2" borderId="2" xfId="1" applyNumberFormat="1" applyFont="1" applyFill="1" applyBorder="1"/>
    <xf numFmtId="165" fontId="11" fillId="2" borderId="2" xfId="1" applyNumberFormat="1" applyFont="1" applyFill="1" applyBorder="1"/>
    <xf numFmtId="165" fontId="13" fillId="2" borderId="2" xfId="0" applyNumberFormat="1" applyFont="1" applyFill="1" applyBorder="1"/>
    <xf numFmtId="165" fontId="23" fillId="2" borderId="2" xfId="1" applyNumberFormat="1" applyFont="1" applyFill="1" applyBorder="1"/>
    <xf numFmtId="165" fontId="25" fillId="2" borderId="4" xfId="1" applyNumberFormat="1" applyFont="1" applyFill="1" applyBorder="1"/>
    <xf numFmtId="165" fontId="12" fillId="2" borderId="2" xfId="0" applyNumberFormat="1" applyFont="1" applyFill="1" applyBorder="1"/>
    <xf numFmtId="0" fontId="13" fillId="2" borderId="0" xfId="0" applyFont="1" applyFill="1"/>
    <xf numFmtId="0" fontId="10" fillId="0" borderId="2" xfId="0" applyFont="1" applyBorder="1" applyAlignment="1">
      <alignment horizontal="center" vertical="center"/>
    </xf>
    <xf numFmtId="165" fontId="4" fillId="3" borderId="2" xfId="1" applyNumberFormat="1" applyFont="1" applyFill="1" applyBorder="1"/>
    <xf numFmtId="166" fontId="33" fillId="0" borderId="0" xfId="0" applyNumberFormat="1" applyFont="1"/>
    <xf numFmtId="0" fontId="10" fillId="0" borderId="1" xfId="0" applyFont="1" applyBorder="1"/>
    <xf numFmtId="0" fontId="12" fillId="0" borderId="0" xfId="0" applyFont="1"/>
    <xf numFmtId="1" fontId="33" fillId="0" borderId="0" xfId="0" applyNumberFormat="1" applyFont="1"/>
    <xf numFmtId="0" fontId="11" fillId="0" borderId="2" xfId="9" applyFont="1" applyBorder="1" applyAlignment="1">
      <alignment horizontal="left" vertical="center" wrapText="1"/>
    </xf>
    <xf numFmtId="3" fontId="11" fillId="0" borderId="2" xfId="10" applyNumberFormat="1" applyFont="1" applyFill="1" applyBorder="1" applyAlignment="1">
      <alignment horizontal="right" vertical="center" wrapText="1"/>
    </xf>
    <xf numFmtId="0" fontId="11" fillId="0" borderId="3" xfId="9" applyFont="1" applyBorder="1" applyAlignment="1">
      <alignment horizontal="center" vertical="center" wrapText="1"/>
    </xf>
    <xf numFmtId="3" fontId="11" fillId="0" borderId="2" xfId="9" applyNumberFormat="1" applyFont="1" applyBorder="1" applyAlignment="1">
      <alignment horizontal="right" wrapText="1"/>
    </xf>
    <xf numFmtId="3" fontId="13" fillId="0" borderId="2" xfId="0" applyNumberFormat="1" applyFont="1" applyBorder="1" applyAlignment="1">
      <alignment vertical="center"/>
    </xf>
    <xf numFmtId="3" fontId="15" fillId="0" borderId="2" xfId="0" applyNumberFormat="1" applyFont="1" applyBorder="1" applyAlignment="1">
      <alignment horizontal="right" vertical="center"/>
    </xf>
    <xf numFmtId="3" fontId="11" fillId="0" borderId="2" xfId="5" applyNumberFormat="1" applyFont="1" applyBorder="1" applyAlignment="1">
      <alignment horizontal="right" vertical="center" wrapText="1"/>
    </xf>
    <xf numFmtId="3" fontId="11" fillId="0" borderId="2" xfId="2" applyNumberFormat="1" applyFont="1" applyFill="1" applyBorder="1" applyAlignment="1">
      <alignment horizontal="right" vertical="center"/>
    </xf>
    <xf numFmtId="0" fontId="11" fillId="0" borderId="5" xfId="0" applyFont="1" applyBorder="1" applyAlignment="1">
      <alignment horizontal="left" vertical="center"/>
    </xf>
    <xf numFmtId="166" fontId="10" fillId="0" borderId="2" xfId="9" applyNumberFormat="1" applyFont="1" applyBorder="1" applyAlignment="1">
      <alignment horizontal="right" vertical="center" wrapText="1"/>
    </xf>
    <xf numFmtId="3" fontId="13" fillId="0" borderId="2" xfId="5" applyNumberFormat="1" applyFont="1" applyBorder="1" applyAlignment="1">
      <alignment horizontal="right" vertical="center" wrapText="1"/>
    </xf>
    <xf numFmtId="0" fontId="35" fillId="0" borderId="0" xfId="0" applyFont="1"/>
    <xf numFmtId="0" fontId="13" fillId="0" borderId="0" xfId="0" applyFont="1" applyAlignment="1">
      <alignment horizontal="left"/>
    </xf>
    <xf numFmtId="0" fontId="13" fillId="0" borderId="11" xfId="0" applyFont="1" applyBorder="1"/>
    <xf numFmtId="0" fontId="13" fillId="0" borderId="11" xfId="0" applyFont="1" applyBorder="1" applyAlignment="1">
      <alignment horizontal="center"/>
    </xf>
    <xf numFmtId="1" fontId="37" fillId="0" borderId="0" xfId="0" applyNumberFormat="1" applyFont="1"/>
    <xf numFmtId="0" fontId="37" fillId="0" borderId="0" xfId="0" applyFont="1"/>
    <xf numFmtId="166" fontId="11" fillId="0" borderId="2" xfId="0" applyNumberFormat="1" applyFont="1" applyBorder="1" applyAlignment="1">
      <alignment vertical="center"/>
    </xf>
    <xf numFmtId="9" fontId="11" fillId="0" borderId="2" xfId="8" applyFont="1" applyBorder="1" applyAlignment="1">
      <alignment vertical="center" wrapText="1"/>
    </xf>
    <xf numFmtId="0" fontId="12" fillId="0" borderId="2" xfId="0" applyFont="1" applyBorder="1" applyAlignment="1">
      <alignment vertical="center"/>
    </xf>
    <xf numFmtId="2" fontId="10" fillId="0" borderId="2" xfId="0" applyNumberFormat="1" applyFont="1" applyBorder="1" applyAlignment="1">
      <alignment vertical="center"/>
    </xf>
    <xf numFmtId="9" fontId="10" fillId="0" borderId="2" xfId="10" applyFont="1" applyFill="1" applyBorder="1" applyAlignment="1">
      <alignment vertical="center" wrapText="1"/>
    </xf>
    <xf numFmtId="0" fontId="10" fillId="0" borderId="0" xfId="9" applyFont="1" applyAlignment="1">
      <alignment horizontal="center" vertical="center" wrapText="1"/>
    </xf>
    <xf numFmtId="0" fontId="10" fillId="0" borderId="0" xfId="9" applyFont="1" applyAlignment="1">
      <alignment horizontal="right" vertical="center" wrapText="1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left"/>
    </xf>
    <xf numFmtId="0" fontId="40" fillId="0" borderId="0" xfId="0" applyFont="1" applyAlignment="1">
      <alignment horizontal="center"/>
    </xf>
    <xf numFmtId="0" fontId="41" fillId="0" borderId="0" xfId="0" applyFont="1"/>
    <xf numFmtId="165" fontId="41" fillId="0" borderId="0" xfId="0" applyNumberFormat="1" applyFont="1" applyAlignment="1">
      <alignment horizontal="center" vertical="center" wrapText="1"/>
    </xf>
    <xf numFmtId="0" fontId="41" fillId="0" borderId="14" xfId="0" applyFont="1" applyBorder="1"/>
    <xf numFmtId="167" fontId="41" fillId="0" borderId="14" xfId="0" applyNumberFormat="1" applyFont="1" applyBorder="1" applyAlignment="1">
      <alignment horizontal="center" vertical="center" wrapText="1"/>
    </xf>
    <xf numFmtId="3" fontId="41" fillId="0" borderId="14" xfId="0" applyNumberFormat="1" applyFont="1" applyBorder="1" applyAlignment="1">
      <alignment horizontal="center" vertical="center" wrapText="1"/>
    </xf>
    <xf numFmtId="2" fontId="41" fillId="0" borderId="14" xfId="0" applyNumberFormat="1" applyFont="1" applyBorder="1" applyAlignment="1">
      <alignment horizontal="center" vertical="center" wrapText="1"/>
    </xf>
    <xf numFmtId="9" fontId="41" fillId="0" borderId="14" xfId="0" applyNumberFormat="1" applyFont="1" applyBorder="1" applyAlignment="1">
      <alignment horizontal="center" vertical="center" wrapText="1"/>
    </xf>
    <xf numFmtId="0" fontId="41" fillId="0" borderId="14" xfId="0" applyFont="1" applyBorder="1" applyAlignment="1">
      <alignment horizontal="left" vertical="center" wrapText="1"/>
    </xf>
    <xf numFmtId="0" fontId="41" fillId="0" borderId="14" xfId="0" applyFont="1" applyBorder="1" applyAlignment="1">
      <alignment horizontal="left" vertical="center"/>
    </xf>
    <xf numFmtId="0" fontId="36" fillId="0" borderId="14" xfId="0" applyFont="1" applyBorder="1"/>
    <xf numFmtId="167" fontId="36" fillId="0" borderId="14" xfId="0" applyNumberFormat="1" applyFont="1" applyBorder="1" applyAlignment="1">
      <alignment horizontal="center" vertical="center" wrapText="1"/>
    </xf>
    <xf numFmtId="168" fontId="36" fillId="0" borderId="14" xfId="0" applyNumberFormat="1" applyFont="1" applyBorder="1" applyAlignment="1">
      <alignment horizontal="center" vertical="center" wrapText="1"/>
    </xf>
    <xf numFmtId="0" fontId="36" fillId="0" borderId="14" xfId="0" applyFont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1" fontId="17" fillId="0" borderId="2" xfId="2" applyNumberFormat="1" applyFont="1" applyFill="1" applyBorder="1" applyAlignment="1">
      <alignment horizontal="center" vertical="center"/>
    </xf>
    <xf numFmtId="3" fontId="17" fillId="0" borderId="2" xfId="2" applyNumberFormat="1" applyFont="1" applyFill="1" applyBorder="1" applyAlignment="1">
      <alignment horizontal="center" vertical="center"/>
    </xf>
    <xf numFmtId="3" fontId="17" fillId="0" borderId="2" xfId="2" applyNumberFormat="1" applyFont="1" applyFill="1" applyBorder="1" applyAlignment="1">
      <alignment vertical="center"/>
    </xf>
    <xf numFmtId="0" fontId="11" fillId="0" borderId="3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left" vertical="center" wrapText="1"/>
    </xf>
    <xf numFmtId="0" fontId="19" fillId="0" borderId="2" xfId="1" applyFont="1" applyBorder="1" applyAlignment="1">
      <alignment wrapText="1"/>
    </xf>
    <xf numFmtId="1" fontId="45" fillId="0" borderId="2" xfId="1" applyNumberFormat="1" applyFont="1" applyBorder="1"/>
    <xf numFmtId="165" fontId="46" fillId="0" borderId="2" xfId="1" applyNumberFormat="1" applyFont="1" applyBorder="1"/>
    <xf numFmtId="165" fontId="45" fillId="0" borderId="2" xfId="1" applyNumberFormat="1" applyFont="1" applyBorder="1"/>
    <xf numFmtId="0" fontId="4" fillId="0" borderId="3" xfId="1" applyFont="1" applyBorder="1" applyAlignment="1">
      <alignment wrapText="1"/>
    </xf>
    <xf numFmtId="0" fontId="41" fillId="0" borderId="2" xfId="1" applyFont="1" applyBorder="1" applyAlignment="1">
      <alignment horizontal="left" vertical="center"/>
    </xf>
    <xf numFmtId="0" fontId="47" fillId="0" borderId="0" xfId="1" applyFont="1"/>
    <xf numFmtId="0" fontId="48" fillId="0" borderId="0" xfId="0" applyFont="1"/>
    <xf numFmtId="165" fontId="13" fillId="2" borderId="0" xfId="0" applyNumberFormat="1" applyFont="1" applyFill="1"/>
    <xf numFmtId="165" fontId="11" fillId="0" borderId="2" xfId="0" applyNumberFormat="1" applyFont="1" applyBorder="1" applyAlignment="1">
      <alignment horizontal="center" vertical="center"/>
    </xf>
    <xf numFmtId="165" fontId="10" fillId="0" borderId="2" xfId="0" applyNumberFormat="1" applyFont="1" applyBorder="1" applyAlignment="1">
      <alignment horizontal="center" vertical="center"/>
    </xf>
    <xf numFmtId="166" fontId="11" fillId="0" borderId="2" xfId="0" applyNumberFormat="1" applyFont="1" applyBorder="1" applyAlignment="1">
      <alignment horizontal="right" vertical="center"/>
    </xf>
    <xf numFmtId="165" fontId="11" fillId="0" borderId="2" xfId="0" applyNumberFormat="1" applyFont="1" applyBorder="1" applyAlignment="1">
      <alignment vertical="center"/>
    </xf>
    <xf numFmtId="165" fontId="11" fillId="0" borderId="2" xfId="0" applyNumberFormat="1" applyFont="1" applyBorder="1" applyAlignment="1">
      <alignment horizontal="right" vertical="center"/>
    </xf>
    <xf numFmtId="166" fontId="10" fillId="0" borderId="2" xfId="0" applyNumberFormat="1" applyFont="1" applyBorder="1" applyAlignment="1">
      <alignment horizontal="center" vertical="center"/>
    </xf>
    <xf numFmtId="165" fontId="11" fillId="3" borderId="2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65" fontId="14" fillId="0" borderId="0" xfId="0" applyNumberFormat="1" applyFont="1"/>
    <xf numFmtId="0" fontId="49" fillId="0" borderId="0" xfId="0" applyFont="1"/>
    <xf numFmtId="0" fontId="0" fillId="0" borderId="2" xfId="0" applyBorder="1"/>
    <xf numFmtId="0" fontId="41" fillId="0" borderId="0" xfId="0" applyFont="1" applyAlignment="1">
      <alignment horizontal="center" vertical="center" wrapText="1"/>
    </xf>
    <xf numFmtId="0" fontId="42" fillId="0" borderId="0" xfId="0" applyFont="1" applyAlignment="1">
      <alignment horizontal="right"/>
    </xf>
    <xf numFmtId="0" fontId="36" fillId="0" borderId="2" xfId="0" applyFont="1" applyBorder="1" applyAlignment="1">
      <alignment horizontal="center" vertical="center" textRotation="90" wrapText="1"/>
    </xf>
    <xf numFmtId="9" fontId="36" fillId="0" borderId="2" xfId="0" applyNumberFormat="1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165" fontId="10" fillId="0" borderId="0" xfId="0" applyNumberFormat="1" applyFont="1" applyAlignment="1">
      <alignment horizontal="center" vertical="center"/>
    </xf>
    <xf numFmtId="2" fontId="10" fillId="0" borderId="2" xfId="0" applyNumberFormat="1" applyFont="1" applyBorder="1" applyAlignment="1">
      <alignment horizontal="center" vertical="center"/>
    </xf>
    <xf numFmtId="1" fontId="37" fillId="0" borderId="0" xfId="0" applyNumberFormat="1" applyFont="1" applyAlignment="1">
      <alignment horizontal="center"/>
    </xf>
    <xf numFmtId="0" fontId="37" fillId="0" borderId="0" xfId="0" applyFont="1" applyAlignment="1">
      <alignment horizontal="center"/>
    </xf>
    <xf numFmtId="165" fontId="49" fillId="0" borderId="0" xfId="0" applyNumberFormat="1" applyFont="1"/>
    <xf numFmtId="0" fontId="0" fillId="0" borderId="0" xfId="0" applyAlignment="1">
      <alignment horizontal="left"/>
    </xf>
    <xf numFmtId="0" fontId="14" fillId="0" borderId="0" xfId="0" applyFont="1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11" fillId="3" borderId="2" xfId="0" applyFont="1" applyFill="1" applyBorder="1" applyAlignment="1">
      <alignment vertical="center" wrapText="1"/>
    </xf>
    <xf numFmtId="165" fontId="9" fillId="3" borderId="2" xfId="1" applyNumberFormat="1" applyFont="1" applyFill="1" applyBorder="1"/>
    <xf numFmtId="1" fontId="35" fillId="0" borderId="2" xfId="1" applyNumberFormat="1" applyFont="1" applyBorder="1"/>
    <xf numFmtId="165" fontId="50" fillId="0" borderId="2" xfId="1" applyNumberFormat="1" applyFont="1" applyBorder="1"/>
    <xf numFmtId="165" fontId="35" fillId="0" borderId="2" xfId="1" applyNumberFormat="1" applyFont="1" applyBorder="1"/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65" fontId="51" fillId="0" borderId="2" xfId="1" applyNumberFormat="1" applyFont="1" applyBorder="1"/>
    <xf numFmtId="165" fontId="6" fillId="0" borderId="2" xfId="1" applyNumberFormat="1" applyFont="1" applyBorder="1"/>
    <xf numFmtId="0" fontId="15" fillId="0" borderId="2" xfId="9" applyFont="1" applyBorder="1"/>
    <xf numFmtId="0" fontId="15" fillId="0" borderId="2" xfId="9" applyFont="1" applyBorder="1" applyAlignment="1">
      <alignment wrapText="1"/>
    </xf>
    <xf numFmtId="165" fontId="20" fillId="0" borderId="2" xfId="9" applyNumberFormat="1" applyFont="1" applyBorder="1" applyAlignment="1">
      <alignment horizontal="right" wrapText="1"/>
    </xf>
    <xf numFmtId="165" fontId="12" fillId="3" borderId="2" xfId="0" applyNumberFormat="1" applyFont="1" applyFill="1" applyBorder="1"/>
    <xf numFmtId="165" fontId="25" fillId="0" borderId="4" xfId="1" applyNumberFormat="1" applyFont="1" applyBorder="1"/>
    <xf numFmtId="165" fontId="13" fillId="0" borderId="2" xfId="1" applyNumberFormat="1" applyFont="1" applyBorder="1"/>
    <xf numFmtId="165" fontId="20" fillId="0" borderId="2" xfId="0" applyNumberFormat="1" applyFont="1" applyBorder="1" applyAlignment="1">
      <alignment wrapText="1"/>
    </xf>
    <xf numFmtId="165" fontId="4" fillId="0" borderId="3" xfId="1" applyNumberFormat="1" applyFont="1" applyBorder="1"/>
    <xf numFmtId="0" fontId="13" fillId="0" borderId="3" xfId="0" applyFont="1" applyBorder="1"/>
    <xf numFmtId="165" fontId="22" fillId="2" borderId="3" xfId="1" applyNumberFormat="1" applyFont="1" applyFill="1" applyBorder="1"/>
    <xf numFmtId="165" fontId="8" fillId="0" borderId="3" xfId="1" applyNumberFormat="1" applyFont="1" applyBorder="1"/>
    <xf numFmtId="165" fontId="18" fillId="0" borderId="3" xfId="1" applyNumberFormat="1" applyFont="1" applyBorder="1"/>
    <xf numFmtId="165" fontId="22" fillId="0" borderId="3" xfId="1" applyNumberFormat="1" applyFont="1" applyBorder="1"/>
    <xf numFmtId="165" fontId="9" fillId="0" borderId="3" xfId="1" applyNumberFormat="1" applyFont="1" applyBorder="1"/>
    <xf numFmtId="165" fontId="6" fillId="0" borderId="3" xfId="1" applyNumberFormat="1" applyFont="1" applyBorder="1"/>
    <xf numFmtId="165" fontId="45" fillId="0" borderId="3" xfId="1" applyNumberFormat="1" applyFont="1" applyBorder="1"/>
    <xf numFmtId="165" fontId="12" fillId="0" borderId="3" xfId="0" applyNumberFormat="1" applyFont="1" applyBorder="1"/>
    <xf numFmtId="165" fontId="5" fillId="0" borderId="10" xfId="1" applyNumberFormat="1" applyFont="1" applyBorder="1"/>
    <xf numFmtId="165" fontId="11" fillId="0" borderId="3" xfId="1" applyNumberFormat="1" applyFont="1" applyBorder="1"/>
    <xf numFmtId="165" fontId="13" fillId="0" borderId="3" xfId="0" applyNumberFormat="1" applyFont="1" applyBorder="1"/>
    <xf numFmtId="165" fontId="6" fillId="3" borderId="2" xfId="1" applyNumberFormat="1" applyFont="1" applyFill="1" applyBorder="1"/>
    <xf numFmtId="1" fontId="34" fillId="0" borderId="2" xfId="1" applyNumberFormat="1" applyFont="1" applyBorder="1"/>
    <xf numFmtId="165" fontId="52" fillId="0" borderId="2" xfId="1" applyNumberFormat="1" applyFont="1" applyBorder="1"/>
    <xf numFmtId="165" fontId="34" fillId="0" borderId="2" xfId="1" applyNumberFormat="1" applyFont="1" applyBorder="1"/>
    <xf numFmtId="0" fontId="11" fillId="0" borderId="2" xfId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65" fontId="12" fillId="5" borderId="2" xfId="0" applyNumberFormat="1" applyFont="1" applyFill="1" applyBorder="1"/>
    <xf numFmtId="0" fontId="11" fillId="0" borderId="2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165" fontId="9" fillId="6" borderId="2" xfId="1" applyNumberFormat="1" applyFont="1" applyFill="1" applyBorder="1"/>
    <xf numFmtId="165" fontId="9" fillId="7" borderId="2" xfId="1" applyNumberFormat="1" applyFont="1" applyFill="1" applyBorder="1"/>
    <xf numFmtId="165" fontId="6" fillId="6" borderId="2" xfId="1" applyNumberFormat="1" applyFont="1" applyFill="1" applyBorder="1"/>
    <xf numFmtId="165" fontId="34" fillId="6" borderId="2" xfId="1" applyNumberFormat="1" applyFont="1" applyFill="1" applyBorder="1"/>
    <xf numFmtId="165" fontId="45" fillId="7" borderId="2" xfId="1" applyNumberFormat="1" applyFont="1" applyFill="1" applyBorder="1"/>
    <xf numFmtId="165" fontId="45" fillId="6" borderId="2" xfId="1" applyNumberFormat="1" applyFont="1" applyFill="1" applyBorder="1"/>
    <xf numFmtId="165" fontId="4" fillId="7" borderId="2" xfId="1" applyNumberFormat="1" applyFont="1" applyFill="1" applyBorder="1"/>
    <xf numFmtId="0" fontId="54" fillId="0" borderId="0" xfId="0" applyFont="1"/>
    <xf numFmtId="165" fontId="54" fillId="0" borderId="0" xfId="0" applyNumberFormat="1" applyFont="1"/>
    <xf numFmtId="0" fontId="55" fillId="0" borderId="0" xfId="0" applyFont="1"/>
    <xf numFmtId="166" fontId="55" fillId="0" borderId="0" xfId="0" applyNumberFormat="1" applyFont="1"/>
    <xf numFmtId="166" fontId="14" fillId="0" borderId="0" xfId="0" applyNumberFormat="1" applyFont="1"/>
    <xf numFmtId="0" fontId="11" fillId="0" borderId="5" xfId="0" applyFont="1" applyBorder="1" applyAlignment="1">
      <alignment vertical="center" wrapText="1"/>
    </xf>
    <xf numFmtId="0" fontId="5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65" fontId="55" fillId="0" borderId="0" xfId="0" applyNumberFormat="1" applyFont="1"/>
    <xf numFmtId="0" fontId="11" fillId="0" borderId="0" xfId="0" applyFont="1" applyAlignment="1">
      <alignment horizontal="center" vertical="center"/>
    </xf>
    <xf numFmtId="165" fontId="11" fillId="0" borderId="0" xfId="0" applyNumberFormat="1" applyFont="1" applyAlignment="1">
      <alignment horizontal="right"/>
    </xf>
    <xf numFmtId="166" fontId="11" fillId="0" borderId="2" xfId="0" applyNumberFormat="1" applyFont="1" applyBorder="1" applyAlignment="1">
      <alignment horizontal="right"/>
    </xf>
    <xf numFmtId="166" fontId="11" fillId="0" borderId="5" xfId="0" applyNumberFormat="1" applyFont="1" applyBorder="1" applyAlignment="1">
      <alignment horizontal="right" vertical="center"/>
    </xf>
    <xf numFmtId="166" fontId="13" fillId="0" borderId="2" xfId="0" applyNumberFormat="1" applyFont="1" applyBorder="1" applyAlignment="1">
      <alignment horizontal="right" vertical="center"/>
    </xf>
    <xf numFmtId="166" fontId="11" fillId="0" borderId="5" xfId="0" applyNumberFormat="1" applyFont="1" applyBorder="1" applyAlignment="1">
      <alignment horizontal="right"/>
    </xf>
    <xf numFmtId="166" fontId="10" fillId="0" borderId="2" xfId="0" applyNumberFormat="1" applyFont="1" applyBorder="1" applyAlignment="1">
      <alignment horizontal="right"/>
    </xf>
    <xf numFmtId="166" fontId="57" fillId="0" borderId="0" xfId="0" applyNumberFormat="1" applyFont="1"/>
    <xf numFmtId="166" fontId="10" fillId="0" borderId="0" xfId="0" applyNumberFormat="1" applyFont="1" applyAlignment="1">
      <alignment horizontal="right"/>
    </xf>
    <xf numFmtId="166" fontId="10" fillId="0" borderId="0" xfId="0" applyNumberFormat="1" applyFont="1"/>
    <xf numFmtId="0" fontId="11" fillId="0" borderId="0" xfId="0" applyFont="1" applyAlignment="1">
      <alignment horizontal="center" vertical="center" wrapText="1"/>
    </xf>
    <xf numFmtId="166" fontId="12" fillId="0" borderId="2" xfId="0" applyNumberFormat="1" applyFont="1" applyBorder="1" applyAlignment="1">
      <alignment horizontal="right" vertical="center"/>
    </xf>
    <xf numFmtId="3" fontId="12" fillId="0" borderId="2" xfId="5" applyNumberFormat="1" applyFont="1" applyBorder="1" applyAlignment="1">
      <alignment horizontal="right" vertical="center" wrapText="1"/>
    </xf>
    <xf numFmtId="0" fontId="53" fillId="0" borderId="0" xfId="0" applyFont="1" applyAlignment="1">
      <alignment vertical="center" wrapText="1"/>
    </xf>
    <xf numFmtId="3" fontId="53" fillId="0" borderId="0" xfId="0" applyNumberFormat="1" applyFont="1" applyAlignment="1">
      <alignment vertical="center" wrapText="1"/>
    </xf>
    <xf numFmtId="0" fontId="56" fillId="0" borderId="0" xfId="0" applyFont="1"/>
    <xf numFmtId="166" fontId="13" fillId="0" borderId="2" xfId="0" applyNumberFormat="1" applyFont="1" applyBorder="1" applyAlignment="1">
      <alignment vertical="center"/>
    </xf>
    <xf numFmtId="165" fontId="10" fillId="0" borderId="2" xfId="0" applyNumberFormat="1" applyFont="1" applyBorder="1" applyAlignment="1">
      <alignment horizontal="right"/>
    </xf>
    <xf numFmtId="0" fontId="11" fillId="0" borderId="7" xfId="0" applyFont="1" applyBorder="1" applyAlignment="1">
      <alignment horizontal="center" vertical="center"/>
    </xf>
    <xf numFmtId="166" fontId="11" fillId="8" borderId="2" xfId="0" applyNumberFormat="1" applyFont="1" applyFill="1" applyBorder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19" fillId="6" borderId="2" xfId="1" applyFont="1" applyFill="1" applyBorder="1"/>
    <xf numFmtId="0" fontId="34" fillId="6" borderId="2" xfId="1" applyFont="1" applyFill="1" applyBorder="1" applyAlignment="1">
      <alignment horizontal="left" vertical="center"/>
    </xf>
    <xf numFmtId="0" fontId="11" fillId="6" borderId="2" xfId="1" applyFont="1" applyFill="1" applyBorder="1" applyAlignment="1">
      <alignment wrapText="1"/>
    </xf>
    <xf numFmtId="0" fontId="19" fillId="6" borderId="2" xfId="1" applyFont="1" applyFill="1" applyBorder="1" applyAlignment="1">
      <alignment wrapText="1"/>
    </xf>
    <xf numFmtId="0" fontId="19" fillId="7" borderId="2" xfId="1" applyFont="1" applyFill="1" applyBorder="1"/>
    <xf numFmtId="0" fontId="19" fillId="7" borderId="2" xfId="1" applyFont="1" applyFill="1" applyBorder="1" applyAlignment="1">
      <alignment wrapText="1"/>
    </xf>
    <xf numFmtId="0" fontId="15" fillId="7" borderId="2" xfId="9" applyFont="1" applyFill="1" applyBorder="1" applyAlignment="1">
      <alignment wrapText="1"/>
    </xf>
    <xf numFmtId="0" fontId="11" fillId="0" borderId="2" xfId="0" applyFont="1" applyBorder="1" applyAlignment="1">
      <alignment horizontal="right" vertical="center"/>
    </xf>
    <xf numFmtId="0" fontId="13" fillId="0" borderId="0" xfId="0" applyFont="1" applyAlignment="1">
      <alignment wrapText="1"/>
    </xf>
    <xf numFmtId="0" fontId="11" fillId="0" borderId="1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3" fillId="0" borderId="2" xfId="9" applyFont="1" applyBorder="1" applyAlignment="1">
      <alignment horizontal="center" vertical="center" wrapText="1"/>
    </xf>
    <xf numFmtId="166" fontId="13" fillId="0" borderId="2" xfId="9" applyNumberFormat="1" applyFont="1" applyBorder="1" applyAlignment="1">
      <alignment vertical="center"/>
    </xf>
    <xf numFmtId="0" fontId="13" fillId="0" borderId="2" xfId="9" applyFont="1" applyBorder="1"/>
    <xf numFmtId="165" fontId="11" fillId="0" borderId="1" xfId="0" applyNumberFormat="1" applyFont="1" applyBorder="1" applyAlignment="1">
      <alignment horizontal="right" vertical="center"/>
    </xf>
    <xf numFmtId="166" fontId="11" fillId="0" borderId="1" xfId="0" applyNumberFormat="1" applyFont="1" applyBorder="1" applyAlignment="1">
      <alignment vertical="center"/>
    </xf>
    <xf numFmtId="0" fontId="11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165" fontId="11" fillId="0" borderId="15" xfId="0" applyNumberFormat="1" applyFont="1" applyBorder="1" applyAlignment="1">
      <alignment horizontal="right" vertical="center"/>
    </xf>
    <xf numFmtId="166" fontId="11" fillId="0" borderId="15" xfId="0" applyNumberFormat="1" applyFont="1" applyBorder="1" applyAlignment="1">
      <alignment vertical="center"/>
    </xf>
    <xf numFmtId="0" fontId="11" fillId="0" borderId="15" xfId="0" applyFont="1" applyBorder="1" applyAlignment="1">
      <alignment vertical="center" wrapText="1"/>
    </xf>
    <xf numFmtId="165" fontId="11" fillId="0" borderId="5" xfId="0" applyNumberFormat="1" applyFont="1" applyBorder="1" applyAlignment="1">
      <alignment horizontal="right" vertical="center"/>
    </xf>
    <xf numFmtId="165" fontId="10" fillId="0" borderId="5" xfId="0" applyNumberFormat="1" applyFont="1" applyBorder="1" applyAlignment="1">
      <alignment horizontal="right" vertical="center"/>
    </xf>
    <xf numFmtId="165" fontId="10" fillId="0" borderId="2" xfId="0" applyNumberFormat="1" applyFont="1" applyBorder="1" applyAlignment="1">
      <alignment horizontal="right" vertical="center"/>
    </xf>
    <xf numFmtId="166" fontId="10" fillId="0" borderId="2" xfId="0" applyNumberFormat="1" applyFont="1" applyBorder="1" applyAlignment="1">
      <alignment vertical="center"/>
    </xf>
    <xf numFmtId="165" fontId="10" fillId="0" borderId="2" xfId="0" applyNumberFormat="1" applyFont="1" applyBorder="1" applyAlignment="1">
      <alignment vertical="center"/>
    </xf>
    <xf numFmtId="166" fontId="12" fillId="0" borderId="2" xfId="9" applyNumberFormat="1" applyFont="1" applyBorder="1" applyAlignment="1">
      <alignment vertical="center"/>
    </xf>
    <xf numFmtId="0" fontId="13" fillId="0" borderId="5" xfId="9" applyFont="1" applyBorder="1"/>
    <xf numFmtId="0" fontId="41" fillId="0" borderId="2" xfId="0" applyFont="1" applyBorder="1" applyAlignment="1">
      <alignment horizontal="left" vertical="center" wrapText="1"/>
    </xf>
    <xf numFmtId="166" fontId="13" fillId="0" borderId="2" xfId="9" applyNumberFormat="1" applyFont="1" applyBorder="1" applyAlignment="1">
      <alignment horizontal="right" vertical="center"/>
    </xf>
    <xf numFmtId="166" fontId="12" fillId="0" borderId="2" xfId="9" applyNumberFormat="1" applyFont="1" applyBorder="1" applyAlignment="1">
      <alignment horizontal="right" vertical="center"/>
    </xf>
    <xf numFmtId="166" fontId="12" fillId="0" borderId="2" xfId="0" applyNumberFormat="1" applyFont="1" applyBorder="1" applyAlignment="1">
      <alignment vertical="center"/>
    </xf>
    <xf numFmtId="165" fontId="12" fillId="0" borderId="0" xfId="0" applyNumberFormat="1" applyFont="1"/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33" fillId="0" borderId="0" xfId="0" applyFont="1" applyAlignment="1"/>
    <xf numFmtId="0" fontId="14" fillId="0" borderId="0" xfId="0" applyFont="1" applyAlignment="1">
      <alignment horizontal="right"/>
    </xf>
    <xf numFmtId="0" fontId="10" fillId="0" borderId="1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0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1" xfId="1" applyFont="1" applyBorder="1" applyAlignment="1">
      <alignment horizontal="center" wrapText="1"/>
    </xf>
    <xf numFmtId="0" fontId="11" fillId="0" borderId="5" xfId="1" applyFont="1" applyBorder="1" applyAlignment="1">
      <alignment horizont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1" fillId="0" borderId="10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 wrapText="1"/>
    </xf>
    <xf numFmtId="0" fontId="11" fillId="0" borderId="10" xfId="1" applyFont="1" applyBorder="1" applyAlignment="1">
      <alignment horizontal="center" vertical="center" wrapText="1"/>
    </xf>
    <xf numFmtId="0" fontId="10" fillId="0" borderId="0" xfId="1" applyFont="1" applyAlignment="1">
      <alignment horizontal="center" wrapText="1"/>
    </xf>
    <xf numFmtId="0" fontId="11" fillId="0" borderId="1" xfId="1" applyFont="1" applyBorder="1" applyAlignment="1">
      <alignment horizontal="center"/>
    </xf>
    <xf numFmtId="0" fontId="11" fillId="0" borderId="5" xfId="1" applyFont="1" applyBorder="1" applyAlignment="1">
      <alignment horizontal="center"/>
    </xf>
    <xf numFmtId="0" fontId="13" fillId="2" borderId="1" xfId="1" applyFont="1" applyFill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1" fillId="0" borderId="10" xfId="1" applyFont="1" applyBorder="1" applyAlignment="1">
      <alignment horizontal="center"/>
    </xf>
    <xf numFmtId="0" fontId="11" fillId="0" borderId="4" xfId="1" applyFont="1" applyBorder="1" applyAlignment="1">
      <alignment horizontal="center"/>
    </xf>
    <xf numFmtId="0" fontId="13" fillId="0" borderId="1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right" vertical="center"/>
    </xf>
    <xf numFmtId="0" fontId="10" fillId="0" borderId="11" xfId="0" applyFont="1" applyBorder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right" vertical="center" wrapText="1"/>
    </xf>
    <xf numFmtId="0" fontId="10" fillId="0" borderId="4" xfId="0" applyFont="1" applyBorder="1" applyAlignment="1">
      <alignment horizontal="right" vertical="center" wrapText="1"/>
    </xf>
    <xf numFmtId="0" fontId="13" fillId="0" borderId="0" xfId="0" applyFont="1" applyAlignment="1">
      <alignment horizontal="left" wrapText="1" indent="15"/>
    </xf>
    <xf numFmtId="0" fontId="11" fillId="0" borderId="13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right" vertical="center"/>
    </xf>
    <xf numFmtId="0" fontId="10" fillId="0" borderId="10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13" fillId="0" borderId="0" xfId="0" applyFont="1" applyAlignment="1">
      <alignment horizontal="left"/>
    </xf>
    <xf numFmtId="0" fontId="10" fillId="0" borderId="3" xfId="9" applyFont="1" applyBorder="1" applyAlignment="1">
      <alignment horizontal="center" vertical="center" wrapText="1"/>
    </xf>
    <xf numFmtId="0" fontId="10" fillId="0" borderId="10" xfId="9" applyFont="1" applyBorder="1" applyAlignment="1">
      <alignment horizontal="center" vertical="center" wrapText="1"/>
    </xf>
    <xf numFmtId="0" fontId="10" fillId="0" borderId="4" xfId="9" applyFont="1" applyBorder="1" applyAlignment="1">
      <alignment horizontal="center" vertical="center" wrapText="1"/>
    </xf>
    <xf numFmtId="0" fontId="10" fillId="0" borderId="1" xfId="9" applyFont="1" applyBorder="1" applyAlignment="1">
      <alignment horizontal="center" vertical="center" textRotation="90" wrapText="1"/>
    </xf>
    <xf numFmtId="0" fontId="10" fillId="0" borderId="5" xfId="9" applyFont="1" applyBorder="1" applyAlignment="1">
      <alignment horizontal="center" vertical="center" textRotation="90" wrapText="1"/>
    </xf>
    <xf numFmtId="0" fontId="30" fillId="0" borderId="3" xfId="9" applyFont="1" applyBorder="1" applyAlignment="1">
      <alignment horizontal="center" vertical="center" textRotation="90" wrapText="1"/>
    </xf>
    <xf numFmtId="0" fontId="30" fillId="0" borderId="4" xfId="9" applyFont="1" applyBorder="1" applyAlignment="1">
      <alignment horizontal="center" vertical="center" textRotation="90" wrapText="1"/>
    </xf>
    <xf numFmtId="0" fontId="10" fillId="0" borderId="2" xfId="9" applyFont="1" applyBorder="1" applyAlignment="1">
      <alignment horizontal="center" vertical="center" textRotation="90" wrapText="1"/>
    </xf>
    <xf numFmtId="0" fontId="10" fillId="0" borderId="0" xfId="0" applyFont="1" applyAlignment="1">
      <alignment horizontal="center"/>
    </xf>
    <xf numFmtId="0" fontId="10" fillId="0" borderId="2" xfId="9" applyFont="1" applyBorder="1" applyAlignment="1">
      <alignment horizontal="center" vertical="center" textRotation="90" wrapText="1" shrinkToFit="1"/>
    </xf>
    <xf numFmtId="0" fontId="10" fillId="0" borderId="3" xfId="9" applyFont="1" applyBorder="1" applyAlignment="1">
      <alignment horizontal="center" vertical="center" textRotation="90" wrapText="1"/>
    </xf>
    <xf numFmtId="0" fontId="10" fillId="0" borderId="4" xfId="9" applyFont="1" applyBorder="1" applyAlignment="1">
      <alignment horizontal="center" vertical="center" textRotation="90" wrapText="1"/>
    </xf>
    <xf numFmtId="0" fontId="10" fillId="0" borderId="12" xfId="9" applyFont="1" applyBorder="1" applyAlignment="1">
      <alignment horizontal="center" vertical="center" textRotation="90" wrapText="1"/>
    </xf>
    <xf numFmtId="0" fontId="10" fillId="0" borderId="13" xfId="9" applyFont="1" applyBorder="1" applyAlignment="1">
      <alignment horizontal="center" vertical="center" textRotation="90" wrapText="1"/>
    </xf>
    <xf numFmtId="0" fontId="10" fillId="0" borderId="7" xfId="9" applyFont="1" applyBorder="1" applyAlignment="1">
      <alignment horizontal="center" vertical="center" textRotation="90" wrapText="1"/>
    </xf>
    <xf numFmtId="0" fontId="10" fillId="0" borderId="8" xfId="9" applyFont="1" applyBorder="1" applyAlignment="1">
      <alignment horizontal="center" vertical="center" textRotation="90" wrapText="1"/>
    </xf>
    <xf numFmtId="0" fontId="28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10" fillId="0" borderId="6" xfId="9" applyFont="1" applyBorder="1" applyAlignment="1">
      <alignment horizontal="center" vertical="center" textRotation="90" wrapText="1"/>
    </xf>
    <xf numFmtId="0" fontId="10" fillId="0" borderId="1" xfId="9" applyFont="1" applyBorder="1" applyAlignment="1">
      <alignment horizontal="center" vertical="center" textRotation="90" wrapText="1" shrinkToFit="1"/>
    </xf>
    <xf numFmtId="0" fontId="10" fillId="0" borderId="6" xfId="9" applyFont="1" applyBorder="1" applyAlignment="1">
      <alignment horizontal="center" vertical="center" textRotation="90" wrapText="1" shrinkToFit="1"/>
    </xf>
    <xf numFmtId="0" fontId="10" fillId="0" borderId="5" xfId="9" applyFont="1" applyBorder="1" applyAlignment="1">
      <alignment horizontal="center" vertical="center" textRotation="90" wrapText="1" shrinkToFit="1"/>
    </xf>
    <xf numFmtId="0" fontId="10" fillId="0" borderId="2" xfId="5" applyFont="1" applyBorder="1" applyAlignment="1">
      <alignment horizontal="center" vertical="center" textRotation="90" wrapText="1"/>
    </xf>
    <xf numFmtId="0" fontId="10" fillId="0" borderId="1" xfId="5" applyFont="1" applyBorder="1" applyAlignment="1">
      <alignment horizontal="center" vertical="center" textRotation="90" wrapText="1"/>
    </xf>
    <xf numFmtId="0" fontId="10" fillId="0" borderId="5" xfId="5" applyFont="1" applyBorder="1" applyAlignment="1">
      <alignment horizontal="center" vertical="center" textRotation="90" wrapText="1"/>
    </xf>
    <xf numFmtId="0" fontId="10" fillId="0" borderId="2" xfId="5" applyFont="1" applyBorder="1" applyAlignment="1">
      <alignment horizontal="center" vertical="center" textRotation="90" wrapText="1" shrinkToFit="1"/>
    </xf>
    <xf numFmtId="0" fontId="10" fillId="0" borderId="3" xfId="5" applyFont="1" applyBorder="1" applyAlignment="1">
      <alignment horizontal="center" vertical="center" wrapText="1"/>
    </xf>
    <xf numFmtId="0" fontId="10" fillId="0" borderId="10" xfId="5" applyFont="1" applyBorder="1" applyAlignment="1">
      <alignment horizontal="center" vertical="center" wrapText="1"/>
    </xf>
    <xf numFmtId="0" fontId="10" fillId="0" borderId="4" xfId="5" applyFont="1" applyBorder="1" applyAlignment="1">
      <alignment horizontal="center" vertical="center" wrapText="1"/>
    </xf>
    <xf numFmtId="0" fontId="10" fillId="0" borderId="3" xfId="5" applyFont="1" applyBorder="1" applyAlignment="1">
      <alignment horizontal="center" vertical="center" textRotation="90" wrapText="1"/>
    </xf>
    <xf numFmtId="0" fontId="10" fillId="0" borderId="4" xfId="5" applyFont="1" applyBorder="1" applyAlignment="1">
      <alignment horizontal="center" vertical="center" textRotation="90" wrapText="1"/>
    </xf>
    <xf numFmtId="0" fontId="30" fillId="0" borderId="3" xfId="5" applyFont="1" applyBorder="1" applyAlignment="1">
      <alignment horizontal="center" vertical="center" textRotation="90" wrapText="1"/>
    </xf>
    <xf numFmtId="0" fontId="30" fillId="0" borderId="4" xfId="5" applyFont="1" applyBorder="1" applyAlignment="1">
      <alignment horizontal="center" vertical="center" textRotation="90" wrapText="1"/>
    </xf>
    <xf numFmtId="0" fontId="36" fillId="0" borderId="2" xfId="0" applyFont="1" applyBorder="1" applyAlignment="1">
      <alignment horizontal="center" vertical="center" textRotation="90" wrapText="1"/>
    </xf>
    <xf numFmtId="0" fontId="10" fillId="0" borderId="16" xfId="9" applyFont="1" applyBorder="1" applyAlignment="1">
      <alignment horizontal="center" vertical="center" wrapText="1"/>
    </xf>
    <xf numFmtId="0" fontId="10" fillId="0" borderId="17" xfId="9" applyFont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0" fillId="0" borderId="0" xfId="0"/>
    <xf numFmtId="0" fontId="38" fillId="0" borderId="0" xfId="0" applyFont="1" applyAlignment="1">
      <alignment horizontal="center"/>
    </xf>
    <xf numFmtId="0" fontId="43" fillId="0" borderId="2" xfId="0" applyFont="1" applyBorder="1"/>
    <xf numFmtId="0" fontId="44" fillId="0" borderId="2" xfId="0" applyFont="1" applyBorder="1" applyAlignment="1">
      <alignment horizontal="center" vertical="center" textRotation="90" wrapText="1"/>
    </xf>
    <xf numFmtId="0" fontId="10" fillId="0" borderId="2" xfId="9" applyFont="1" applyBorder="1" applyAlignment="1">
      <alignment horizontal="center" vertical="center" wrapText="1"/>
    </xf>
    <xf numFmtId="9" fontId="36" fillId="0" borderId="2" xfId="0" applyNumberFormat="1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textRotation="90" wrapText="1"/>
    </xf>
    <xf numFmtId="0" fontId="36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12">
    <cellStyle name="Обычный" xfId="0" builtinId="0"/>
    <cellStyle name="Обычный 2" xfId="4" xr:uid="{00000000-0005-0000-0000-000001000000}"/>
    <cellStyle name="Обычный 2 2" xfId="5" xr:uid="{00000000-0005-0000-0000-000002000000}"/>
    <cellStyle name="Обычный 2 2 2" xfId="9" xr:uid="{00000000-0005-0000-0000-000003000000}"/>
    <cellStyle name="Обычный 2 2 3" xfId="7" xr:uid="{00000000-0005-0000-0000-000004000000}"/>
    <cellStyle name="Обычный 3" xfId="1" xr:uid="{00000000-0005-0000-0000-000005000000}"/>
    <cellStyle name="Обычный 4" xfId="6" xr:uid="{00000000-0005-0000-0000-000006000000}"/>
    <cellStyle name="Процентный" xfId="8" builtinId="5"/>
    <cellStyle name="Процентный 2" xfId="10" xr:uid="{00000000-0005-0000-0000-000008000000}"/>
    <cellStyle name="Финансовый" xfId="2" builtinId="3"/>
    <cellStyle name="Финансовый 2" xfId="3" xr:uid="{00000000-0005-0000-0000-00000A000000}"/>
    <cellStyle name="Финансовый 3" xfId="11" xr:uid="{00000000-0005-0000-0000-00000B000000}"/>
  </cellStyles>
  <dxfs count="0"/>
  <tableStyles count="0" defaultTableStyle="TableStyleMedium2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1;&#1102;&#1076;&#1078;&#1077;&#1090;%202025/&#1048;&#1079;&#1084;&#1077;&#1085;&#1077;&#1085;&#1080;&#1077;,%20&#1076;&#1086;&#1087;&#1086;&#1083;&#1085;&#1077;&#1085;&#1080;&#1077;%209%20&#1084;&#1077;&#1089;%202025/&#1087;&#1072;&#1087;&#1082;&#1080;/&#1076;&#1086;&#1082;&#1091;&#1084;&#1077;&#1085;&#1090;&#1099;%20&#1075;&#1086;&#1088;%20&#1060;&#1059;/&#1076;&#1086;&#1082;.2006/&#1086;&#1090;&#1095;&#1077;&#1090;%202003&#1075;&#1086;&#107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1;&#1102;&#1076;&#1078;&#1077;&#1090;%202025/&#1048;&#1079;&#1084;&#1077;&#1085;&#1077;&#1085;&#1080;&#1077;,%20&#1076;&#1086;&#1087;&#1086;&#1083;&#1085;&#1077;&#1085;&#1080;&#1077;%209%20&#1084;&#1077;&#1089;%202025/&#1087;&#1072;&#1087;&#1082;&#1080;/&#1076;&#1086;&#1082;&#1091;&#1084;&#1077;&#1085;&#1090;&#1099;%20&#1075;&#1086;&#1088;%20&#1060;&#1059;/&#1076;&#1086;&#1082;.%202018/&#1089;&#1077;&#1089;&#1089;&#1080;&#1103;%202018/&#1087;&#1072;&#1087;&#1082;&#1080;/&#1076;&#1086;&#1082;&#1091;&#1084;&#1077;&#1085;&#1090;&#1099;%20&#1075;&#1086;&#1088;%20&#1060;&#1059;/&#1076;&#1086;&#1082;.2006/&#1086;&#1090;&#1095;&#1077;&#1090;%202003&#1075;&#1086;&#107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1;&#1102;&#1076;&#1078;&#1077;&#1090;%202025/&#1048;&#1079;&#1084;&#1077;&#1085;&#1077;&#1085;&#1080;&#1077;,%20&#1076;&#1086;&#1087;&#1086;&#1083;&#1085;&#1077;&#1085;&#1080;&#1077;%209%20&#1084;&#1077;&#1089;%202025/WINDOWS/&#1043;&#1083;&#1072;&#1074;&#1085;&#1086;&#1077;%20&#1084;&#1077;&#1085;&#1102;/www.NURBEK@.mail.ru/&#1056;&#1040;&#1057;&#1061;&#1054;&#1044;&#1067;/2003/&#1086;&#1090;&#1095;&#1077;&#1090;%202003&#1075;&#1086;&#107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1;&#1102;&#1076;&#1078;&#1077;&#1090;%202025/&#1048;&#1079;&#1084;&#1077;&#1085;&#1077;&#1085;&#1080;&#1077;,%20&#1076;&#1086;&#1087;&#1086;&#1083;&#1085;&#1077;&#1085;&#1080;&#1077;%209%20&#1084;&#1077;&#1089;%202025/&#1087;&#1072;&#1087;&#1082;&#1080;/&#1076;&#1086;&#1082;&#1091;&#1084;&#1077;&#1085;&#1090;&#1099;%20&#1075;&#1086;&#1088;%20&#1060;&#1059;/&#1076;&#1086;&#1082;.%202018/&#1089;&#1077;&#1089;&#1089;&#1080;&#1103;%202018/WINDOWS/&#1043;&#1083;&#1072;&#1074;&#1085;&#1086;&#1077;%20&#1084;&#1077;&#1085;&#1102;/www.NURBEK@.mail.ru/&#1056;&#1040;&#1057;&#1061;&#1054;&#1044;&#1067;/2003/&#1086;&#1090;&#1095;&#1077;&#1090;%202003&#1075;&#1086;&#107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бразов.03год."/>
      <sheetName val="бюджет-2003-12"/>
      <sheetName val="спец-2003-12"/>
      <sheetName val="Лист1"/>
      <sheetName val="объяс.-12мес."/>
      <sheetName val="об.12мес.гос."/>
      <sheetName val="Лист2"/>
      <sheetName val="бюджет-2003-9"/>
      <sheetName val="спец-2003-9"/>
      <sheetName val="Объяс.9мес"/>
      <sheetName val="объяс.Iполугод."/>
      <sheetName val="обход"/>
      <sheetName val="Отчет образов"/>
      <sheetName val="спец-2003&quot;6"/>
      <sheetName val="бюджет-2003&quot;6"/>
      <sheetName val="ТСУ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бразов.03год."/>
      <sheetName val="бюджет-2003-12"/>
      <sheetName val="спец-2003-12"/>
      <sheetName val="Лист1"/>
      <sheetName val="объяс.-12мес."/>
      <sheetName val="об.12мес.гос."/>
      <sheetName val="Лист2"/>
      <sheetName val="бюджет-2003-9"/>
      <sheetName val="спец-2003-9"/>
      <sheetName val="Объяс.9мес"/>
      <sheetName val="объяс.Iполугод."/>
      <sheetName val="обход"/>
      <sheetName val="Отчет образов"/>
      <sheetName val="спец-2003&quot;6"/>
      <sheetName val="бюджет-2003&quot;6"/>
      <sheetName val="ТСУ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бразов.03год."/>
      <sheetName val="Лист1"/>
      <sheetName val="объяс.-12мес."/>
      <sheetName val="об.12мес.гос."/>
      <sheetName val="Лист2"/>
      <sheetName val="бюджет-2003-9"/>
      <sheetName val="спец-2003-9"/>
      <sheetName val="Объяс.9мес"/>
      <sheetName val="объяс.Iполугод."/>
      <sheetName val="обход"/>
      <sheetName val="Отчет образов"/>
      <sheetName val="спец-2003&quot;6"/>
      <sheetName val="бюджет-2003&quot;6"/>
      <sheetName val="ТСУ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бразов.03год."/>
      <sheetName val="Лист1"/>
      <sheetName val="объяс.-12мес."/>
      <sheetName val="об.12мес.гос."/>
      <sheetName val="Лист2"/>
      <sheetName val="бюджет-2003-9"/>
      <sheetName val="спец-2003-9"/>
      <sheetName val="Объяс.9мес"/>
      <sheetName val="объяс.Iполугод."/>
      <sheetName val="обход"/>
      <sheetName val="Отчет образов"/>
      <sheetName val="спец-2003&quot;6"/>
      <sheetName val="бюджет-2003&quot;6"/>
      <sheetName val="ТСУ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0"/>
  <sheetViews>
    <sheetView topLeftCell="A55" workbookViewId="0">
      <selection activeCell="G68" sqref="G68"/>
    </sheetView>
  </sheetViews>
  <sheetFormatPr defaultColWidth="9.140625" defaultRowHeight="12.75"/>
  <cols>
    <col min="1" max="1" width="3" bestFit="1" customWidth="1"/>
    <col min="2" max="2" width="34.28515625" customWidth="1"/>
    <col min="3" max="3" width="9.5703125" bestFit="1" customWidth="1"/>
    <col min="4" max="4" width="18.42578125" hidden="1" customWidth="1"/>
    <col min="5" max="6" width="12.5703125" hidden="1" customWidth="1"/>
    <col min="7" max="7" width="12.5703125" customWidth="1"/>
    <col min="8" max="9" width="12.140625" hidden="1" customWidth="1"/>
    <col min="10" max="10" width="13" hidden="1" customWidth="1"/>
    <col min="11" max="11" width="11.5703125" hidden="1" customWidth="1"/>
    <col min="12" max="12" width="9.42578125" hidden="1" customWidth="1"/>
    <col min="13" max="13" width="12.140625" customWidth="1"/>
    <col min="14" max="14" width="44.85546875" customWidth="1"/>
  </cols>
  <sheetData>
    <row r="1" spans="1:15">
      <c r="M1" s="22"/>
      <c r="N1" s="3"/>
    </row>
    <row r="2" spans="1:15">
      <c r="N2" s="21"/>
    </row>
    <row r="3" spans="1:15" ht="27" customHeight="1">
      <c r="A3" s="375" t="s">
        <v>189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76"/>
    </row>
    <row r="4" spans="1:15" ht="54" customHeight="1">
      <c r="A4" s="160" t="s">
        <v>0</v>
      </c>
      <c r="B4" s="160" t="s">
        <v>17</v>
      </c>
      <c r="C4" s="160" t="s">
        <v>161</v>
      </c>
      <c r="D4" s="19" t="s">
        <v>174</v>
      </c>
      <c r="E4" s="19" t="s">
        <v>175</v>
      </c>
      <c r="F4" s="19" t="s">
        <v>176</v>
      </c>
      <c r="G4" s="19" t="s">
        <v>182</v>
      </c>
      <c r="H4" s="19" t="s">
        <v>177</v>
      </c>
      <c r="I4" s="19" t="s">
        <v>178</v>
      </c>
      <c r="J4" s="19" t="s">
        <v>179</v>
      </c>
      <c r="K4" s="19" t="s">
        <v>180</v>
      </c>
      <c r="L4" s="19" t="s">
        <v>181</v>
      </c>
      <c r="M4" s="19" t="s">
        <v>183</v>
      </c>
      <c r="N4" s="160" t="s">
        <v>162</v>
      </c>
    </row>
    <row r="5" spans="1:15">
      <c r="A5" s="24">
        <v>1</v>
      </c>
      <c r="B5" s="24">
        <v>2</v>
      </c>
      <c r="C5" s="24">
        <v>3</v>
      </c>
      <c r="D5" s="24">
        <v>4</v>
      </c>
      <c r="E5" s="24"/>
      <c r="F5" s="24"/>
      <c r="G5" s="24">
        <v>4</v>
      </c>
      <c r="H5" s="24">
        <v>5</v>
      </c>
      <c r="I5" s="24"/>
      <c r="J5" s="24">
        <v>6</v>
      </c>
      <c r="K5" s="24">
        <v>7</v>
      </c>
      <c r="L5" s="24">
        <v>8</v>
      </c>
      <c r="M5" s="24">
        <v>5</v>
      </c>
      <c r="N5" s="24">
        <v>6</v>
      </c>
    </row>
    <row r="6" spans="1:15" ht="25.5">
      <c r="A6" s="377"/>
      <c r="B6" s="378" t="s">
        <v>163</v>
      </c>
      <c r="C6" s="18">
        <v>3111</v>
      </c>
      <c r="D6" s="18"/>
      <c r="E6" s="18"/>
      <c r="F6" s="18"/>
      <c r="G6" s="222"/>
      <c r="H6" s="222"/>
      <c r="I6" s="222"/>
      <c r="J6" s="222"/>
      <c r="K6" s="222"/>
      <c r="L6" s="222"/>
      <c r="M6" s="222">
        <v>500</v>
      </c>
      <c r="N6" s="11" t="s">
        <v>241</v>
      </c>
    </row>
    <row r="7" spans="1:15">
      <c r="A7" s="377"/>
      <c r="B7" s="378"/>
      <c r="C7" s="18">
        <v>2111</v>
      </c>
      <c r="D7" s="18"/>
      <c r="E7" s="18"/>
      <c r="F7" s="18"/>
      <c r="G7" s="222"/>
      <c r="H7" s="222"/>
      <c r="I7" s="222"/>
      <c r="J7" s="222"/>
      <c r="K7" s="222"/>
      <c r="L7" s="222"/>
      <c r="M7" s="222">
        <v>106.3</v>
      </c>
      <c r="N7" s="379" t="s">
        <v>292</v>
      </c>
    </row>
    <row r="8" spans="1:15">
      <c r="A8" s="377"/>
      <c r="B8" s="378"/>
      <c r="C8" s="18">
        <v>2121</v>
      </c>
      <c r="D8" s="18"/>
      <c r="E8" s="18"/>
      <c r="F8" s="18"/>
      <c r="G8" s="222"/>
      <c r="H8" s="222"/>
      <c r="I8" s="222"/>
      <c r="J8" s="222"/>
      <c r="K8" s="222"/>
      <c r="L8" s="222"/>
      <c r="M8" s="222">
        <v>15.9</v>
      </c>
      <c r="N8" s="380"/>
    </row>
    <row r="9" spans="1:15">
      <c r="A9" s="377"/>
      <c r="B9" s="378"/>
      <c r="C9" s="18">
        <v>2215</v>
      </c>
      <c r="D9" s="18"/>
      <c r="E9" s="18"/>
      <c r="F9" s="18"/>
      <c r="G9" s="222"/>
      <c r="H9" s="222"/>
      <c r="I9" s="222"/>
      <c r="J9" s="222"/>
      <c r="K9" s="222"/>
      <c r="L9" s="222"/>
      <c r="M9" s="222">
        <v>18</v>
      </c>
      <c r="N9" s="11" t="s">
        <v>284</v>
      </c>
    </row>
    <row r="10" spans="1:15">
      <c r="A10" s="377"/>
      <c r="B10" s="378"/>
      <c r="C10" s="18">
        <v>2215</v>
      </c>
      <c r="D10" s="18"/>
      <c r="E10" s="18"/>
      <c r="F10" s="18"/>
      <c r="G10" s="222"/>
      <c r="H10" s="222"/>
      <c r="I10" s="222"/>
      <c r="J10" s="222"/>
      <c r="K10" s="222"/>
      <c r="L10" s="222"/>
      <c r="M10" s="222">
        <v>350</v>
      </c>
      <c r="N10" s="11" t="s">
        <v>313</v>
      </c>
    </row>
    <row r="11" spans="1:15">
      <c r="A11" s="377"/>
      <c r="B11" s="378" t="s">
        <v>242</v>
      </c>
      <c r="C11" s="18">
        <v>3111</v>
      </c>
      <c r="D11" s="18"/>
      <c r="E11" s="18"/>
      <c r="F11" s="18"/>
      <c r="G11" s="222">
        <v>100</v>
      </c>
      <c r="H11" s="222"/>
      <c r="I11" s="222"/>
      <c r="J11" s="222"/>
      <c r="K11" s="222"/>
      <c r="L11" s="222"/>
      <c r="M11" s="222"/>
      <c r="N11" s="76" t="s">
        <v>291</v>
      </c>
    </row>
    <row r="12" spans="1:15">
      <c r="A12" s="377"/>
      <c r="B12" s="378"/>
      <c r="C12" s="239">
        <v>3111</v>
      </c>
      <c r="D12" s="239"/>
      <c r="E12" s="239"/>
      <c r="F12" s="239"/>
      <c r="G12" s="228">
        <f>14290.2-500</f>
        <v>13790.2</v>
      </c>
      <c r="H12" s="228"/>
      <c r="I12" s="228"/>
      <c r="J12" s="228"/>
      <c r="K12" s="228"/>
      <c r="L12" s="228"/>
      <c r="M12" s="228"/>
      <c r="N12" s="250" t="s">
        <v>276</v>
      </c>
    </row>
    <row r="13" spans="1:15">
      <c r="A13" s="377"/>
      <c r="B13" s="378"/>
      <c r="C13" s="18">
        <v>3111</v>
      </c>
      <c r="D13" s="18"/>
      <c r="E13" s="18"/>
      <c r="F13" s="18"/>
      <c r="G13" s="222"/>
      <c r="H13" s="222"/>
      <c r="I13" s="222"/>
      <c r="J13" s="222"/>
      <c r="K13" s="222"/>
      <c r="L13" s="222"/>
      <c r="M13" s="222">
        <v>94.5</v>
      </c>
      <c r="N13" s="11" t="s">
        <v>244</v>
      </c>
    </row>
    <row r="14" spans="1:15">
      <c r="A14" s="377"/>
      <c r="B14" s="378"/>
      <c r="C14" s="239">
        <v>3111</v>
      </c>
      <c r="D14" s="239"/>
      <c r="E14" s="239"/>
      <c r="F14" s="239"/>
      <c r="G14" s="228"/>
      <c r="H14" s="228"/>
      <c r="I14" s="228"/>
      <c r="J14" s="228"/>
      <c r="K14" s="228"/>
      <c r="L14" s="228"/>
      <c r="M14" s="228">
        <v>958.7</v>
      </c>
      <c r="N14" s="250" t="s">
        <v>310</v>
      </c>
      <c r="O14" t="s">
        <v>309</v>
      </c>
    </row>
    <row r="15" spans="1:15" ht="25.5">
      <c r="A15" s="372"/>
      <c r="B15" s="368" t="s">
        <v>271</v>
      </c>
      <c r="C15" s="18">
        <v>2221</v>
      </c>
      <c r="D15" s="18"/>
      <c r="E15" s="18"/>
      <c r="F15" s="18"/>
      <c r="G15" s="222">
        <v>93.5</v>
      </c>
      <c r="H15" s="222"/>
      <c r="I15" s="222"/>
      <c r="J15" s="222"/>
      <c r="K15" s="222"/>
      <c r="L15" s="222"/>
      <c r="M15" s="222"/>
      <c r="N15" s="76" t="s">
        <v>268</v>
      </c>
    </row>
    <row r="16" spans="1:15" ht="27" customHeight="1">
      <c r="A16" s="373"/>
      <c r="B16" s="369"/>
      <c r="C16" s="18">
        <v>2222</v>
      </c>
      <c r="D16" s="160"/>
      <c r="E16" s="160"/>
      <c r="F16" s="160"/>
      <c r="G16" s="222">
        <v>30</v>
      </c>
      <c r="H16" s="223"/>
      <c r="I16" s="223"/>
      <c r="J16" s="223"/>
      <c r="K16" s="223"/>
      <c r="L16" s="223"/>
      <c r="M16" s="222"/>
      <c r="N16" s="76" t="s">
        <v>272</v>
      </c>
    </row>
    <row r="17" spans="1:14">
      <c r="A17" s="374"/>
      <c r="B17" s="371"/>
      <c r="C17" s="18">
        <v>3112</v>
      </c>
      <c r="D17" s="160"/>
      <c r="E17" s="160"/>
      <c r="F17" s="160"/>
      <c r="G17" s="222">
        <v>607.6</v>
      </c>
      <c r="H17" s="223"/>
      <c r="I17" s="223"/>
      <c r="J17" s="223"/>
      <c r="K17" s="223"/>
      <c r="L17" s="223"/>
      <c r="M17" s="222"/>
      <c r="N17" s="76" t="s">
        <v>270</v>
      </c>
    </row>
    <row r="18" spans="1:14" ht="38.25">
      <c r="A18" s="368"/>
      <c r="B18" s="368" t="s">
        <v>251</v>
      </c>
      <c r="C18" s="18">
        <v>2215</v>
      </c>
      <c r="D18" s="160"/>
      <c r="E18" s="160"/>
      <c r="F18" s="160"/>
      <c r="G18" s="222">
        <v>1045.2</v>
      </c>
      <c r="H18" s="223"/>
      <c r="I18" s="223"/>
      <c r="J18" s="223"/>
      <c r="K18" s="223"/>
      <c r="L18" s="223"/>
      <c r="M18" s="222"/>
      <c r="N18" s="76" t="s">
        <v>267</v>
      </c>
    </row>
    <row r="19" spans="1:14" ht="25.5">
      <c r="A19" s="369"/>
      <c r="B19" s="369"/>
      <c r="C19" s="18">
        <v>2221</v>
      </c>
      <c r="D19" s="160"/>
      <c r="E19" s="160"/>
      <c r="F19" s="160"/>
      <c r="G19" s="222">
        <f>1460.3-958.7</f>
        <v>501.59999999999991</v>
      </c>
      <c r="H19" s="223"/>
      <c r="I19" s="223"/>
      <c r="J19" s="223"/>
      <c r="K19" s="223"/>
      <c r="L19" s="223"/>
      <c r="M19" s="222"/>
      <c r="N19" s="76" t="s">
        <v>268</v>
      </c>
    </row>
    <row r="20" spans="1:14">
      <c r="A20" s="369"/>
      <c r="B20" s="369"/>
      <c r="C20" s="18">
        <v>3112</v>
      </c>
      <c r="D20" s="160"/>
      <c r="E20" s="160"/>
      <c r="F20" s="160"/>
      <c r="G20" s="222">
        <v>1570</v>
      </c>
      <c r="H20" s="223"/>
      <c r="I20" s="223"/>
      <c r="J20" s="223"/>
      <c r="K20" s="223"/>
      <c r="L20" s="223"/>
      <c r="M20" s="222"/>
      <c r="N20" s="76" t="s">
        <v>270</v>
      </c>
    </row>
    <row r="21" spans="1:14">
      <c r="A21" s="369"/>
      <c r="B21" s="369"/>
      <c r="C21" s="18">
        <v>2225</v>
      </c>
      <c r="D21" s="160"/>
      <c r="E21" s="160"/>
      <c r="F21" s="160"/>
      <c r="G21" s="222">
        <v>152.1</v>
      </c>
      <c r="H21" s="223"/>
      <c r="I21" s="223"/>
      <c r="J21" s="223"/>
      <c r="K21" s="223"/>
      <c r="L21" s="223"/>
      <c r="M21" s="222"/>
      <c r="N21" s="76" t="s">
        <v>269</v>
      </c>
    </row>
    <row r="22" spans="1:14">
      <c r="A22" s="371"/>
      <c r="B22" s="371"/>
      <c r="C22" s="18">
        <v>2221</v>
      </c>
      <c r="D22" s="160"/>
      <c r="E22" s="160"/>
      <c r="F22" s="160"/>
      <c r="G22" s="222">
        <v>958.7</v>
      </c>
      <c r="H22" s="223"/>
      <c r="I22" s="223"/>
      <c r="J22" s="223"/>
      <c r="K22" s="223"/>
      <c r="L22" s="223"/>
      <c r="M22" s="222"/>
      <c r="N22" s="11" t="s">
        <v>250</v>
      </c>
    </row>
    <row r="23" spans="1:14">
      <c r="A23" s="366"/>
      <c r="B23" s="368" t="s">
        <v>16</v>
      </c>
      <c r="C23" s="18">
        <v>2721</v>
      </c>
      <c r="D23" s="160"/>
      <c r="E23" s="160"/>
      <c r="F23" s="160"/>
      <c r="G23" s="222"/>
      <c r="H23" s="223"/>
      <c r="I23" s="223"/>
      <c r="J23" s="223"/>
      <c r="K23" s="223"/>
      <c r="L23" s="223"/>
      <c r="M23" s="222">
        <v>12</v>
      </c>
      <c r="N23" s="76" t="s">
        <v>245</v>
      </c>
    </row>
    <row r="24" spans="1:14">
      <c r="A24" s="367"/>
      <c r="B24" s="369"/>
      <c r="C24" s="18">
        <v>2721</v>
      </c>
      <c r="D24" s="160"/>
      <c r="E24" s="160"/>
      <c r="F24" s="160"/>
      <c r="G24" s="222"/>
      <c r="H24" s="223"/>
      <c r="I24" s="223"/>
      <c r="J24" s="223"/>
      <c r="K24" s="223"/>
      <c r="L24" s="223"/>
      <c r="M24" s="222">
        <v>10</v>
      </c>
      <c r="N24" s="76" t="s">
        <v>246</v>
      </c>
    </row>
    <row r="25" spans="1:14">
      <c r="A25" s="367"/>
      <c r="B25" s="369"/>
      <c r="C25" s="18">
        <v>2721</v>
      </c>
      <c r="D25" s="160"/>
      <c r="E25" s="160"/>
      <c r="F25" s="160"/>
      <c r="G25" s="222">
        <v>22</v>
      </c>
      <c r="H25" s="223"/>
      <c r="I25" s="223"/>
      <c r="J25" s="223"/>
      <c r="K25" s="223"/>
      <c r="L25" s="223"/>
      <c r="M25" s="222"/>
      <c r="N25" s="76" t="s">
        <v>248</v>
      </c>
    </row>
    <row r="26" spans="1:14">
      <c r="A26" s="367"/>
      <c r="B26" s="369"/>
      <c r="C26" s="18">
        <v>2111</v>
      </c>
      <c r="D26" s="160"/>
      <c r="E26" s="160"/>
      <c r="F26" s="160"/>
      <c r="G26" s="222"/>
      <c r="H26" s="223"/>
      <c r="I26" s="223"/>
      <c r="J26" s="223"/>
      <c r="K26" s="223"/>
      <c r="L26" s="223"/>
      <c r="M26" s="222">
        <v>61.8</v>
      </c>
      <c r="N26" s="76" t="s">
        <v>254</v>
      </c>
    </row>
    <row r="27" spans="1:14">
      <c r="A27" s="367"/>
      <c r="B27" s="369"/>
      <c r="C27" s="18">
        <v>2121</v>
      </c>
      <c r="D27" s="160"/>
      <c r="E27" s="160"/>
      <c r="F27" s="160"/>
      <c r="G27" s="222"/>
      <c r="H27" s="223"/>
      <c r="I27" s="223"/>
      <c r="J27" s="223"/>
      <c r="K27" s="223"/>
      <c r="L27" s="223"/>
      <c r="M27" s="222">
        <v>240.5</v>
      </c>
      <c r="N27" s="76" t="s">
        <v>253</v>
      </c>
    </row>
    <row r="28" spans="1:14">
      <c r="A28" s="370"/>
      <c r="B28" s="371"/>
      <c r="C28" s="18">
        <v>2721</v>
      </c>
      <c r="D28" s="160"/>
      <c r="E28" s="160"/>
      <c r="F28" s="160"/>
      <c r="G28" s="222"/>
      <c r="H28" s="223"/>
      <c r="I28" s="223"/>
      <c r="J28" s="223"/>
      <c r="K28" s="223"/>
      <c r="L28" s="223"/>
      <c r="M28" s="222">
        <v>66.3</v>
      </c>
      <c r="N28" s="76" t="s">
        <v>255</v>
      </c>
    </row>
    <row r="29" spans="1:14">
      <c r="A29" s="8"/>
      <c r="B29" s="229" t="s">
        <v>247</v>
      </c>
      <c r="C29" s="18">
        <v>2511</v>
      </c>
      <c r="D29" s="160"/>
      <c r="E29" s="160"/>
      <c r="F29" s="160"/>
      <c r="G29" s="222"/>
      <c r="H29" s="223"/>
      <c r="I29" s="223"/>
      <c r="J29" s="223"/>
      <c r="K29" s="223"/>
      <c r="L29" s="223"/>
      <c r="M29" s="222">
        <v>16500</v>
      </c>
      <c r="N29" s="76" t="s">
        <v>249</v>
      </c>
    </row>
    <row r="30" spans="1:14">
      <c r="A30" s="163"/>
      <c r="B30" s="229" t="s">
        <v>281</v>
      </c>
      <c r="C30" s="18">
        <v>2222</v>
      </c>
      <c r="D30" s="160"/>
      <c r="E30" s="160"/>
      <c r="F30" s="160"/>
      <c r="G30" s="222"/>
      <c r="H30" s="223"/>
      <c r="I30" s="223"/>
      <c r="J30" s="223"/>
      <c r="K30" s="223"/>
      <c r="L30" s="223"/>
      <c r="M30" s="222">
        <v>250</v>
      </c>
      <c r="N30" s="76" t="s">
        <v>282</v>
      </c>
    </row>
    <row r="31" spans="1:14">
      <c r="A31" s="366"/>
      <c r="B31" s="368" t="s">
        <v>240</v>
      </c>
      <c r="C31" s="18">
        <v>2215</v>
      </c>
      <c r="D31" s="160"/>
      <c r="E31" s="160"/>
      <c r="F31" s="160"/>
      <c r="G31" s="222"/>
      <c r="H31" s="223"/>
      <c r="I31" s="223"/>
      <c r="J31" s="223"/>
      <c r="K31" s="223"/>
      <c r="L31" s="223"/>
      <c r="M31" s="222">
        <v>5.6</v>
      </c>
      <c r="N31" s="76" t="s">
        <v>285</v>
      </c>
    </row>
    <row r="32" spans="1:14">
      <c r="A32" s="367"/>
      <c r="B32" s="369"/>
      <c r="C32" s="18">
        <v>2215</v>
      </c>
      <c r="D32" s="160"/>
      <c r="E32" s="160"/>
      <c r="F32" s="160"/>
      <c r="G32" s="222"/>
      <c r="H32" s="223"/>
      <c r="I32" s="223"/>
      <c r="J32" s="223"/>
      <c r="K32" s="223"/>
      <c r="L32" s="223"/>
      <c r="M32" s="222">
        <v>201.1</v>
      </c>
      <c r="N32" s="76" t="s">
        <v>286</v>
      </c>
    </row>
    <row r="33" spans="1:14">
      <c r="A33" s="367"/>
      <c r="B33" s="369"/>
      <c r="C33" s="18">
        <v>3141</v>
      </c>
      <c r="D33" s="160"/>
      <c r="E33" s="160"/>
      <c r="F33" s="160"/>
      <c r="G33" s="222"/>
      <c r="H33" s="223"/>
      <c r="I33" s="223"/>
      <c r="J33" s="223"/>
      <c r="K33" s="223"/>
      <c r="L33" s="223"/>
      <c r="M33" s="222">
        <v>83.3</v>
      </c>
      <c r="N33" s="76" t="s">
        <v>287</v>
      </c>
    </row>
    <row r="34" spans="1:14">
      <c r="A34" s="370"/>
      <c r="B34" s="371"/>
      <c r="C34" s="18">
        <v>3141</v>
      </c>
      <c r="D34" s="160"/>
      <c r="E34" s="160"/>
      <c r="F34" s="160"/>
      <c r="G34" s="222"/>
      <c r="H34" s="223"/>
      <c r="I34" s="223"/>
      <c r="J34" s="223"/>
      <c r="K34" s="223"/>
      <c r="L34" s="223"/>
      <c r="M34" s="222">
        <v>560</v>
      </c>
      <c r="N34" s="76" t="s">
        <v>288</v>
      </c>
    </row>
    <row r="35" spans="1:14">
      <c r="A35" s="366"/>
      <c r="B35" s="368" t="s">
        <v>228</v>
      </c>
      <c r="C35" s="18">
        <v>2215</v>
      </c>
      <c r="D35" s="160"/>
      <c r="E35" s="160"/>
      <c r="F35" s="160"/>
      <c r="G35" s="222">
        <v>156</v>
      </c>
      <c r="H35" s="223"/>
      <c r="I35" s="223"/>
      <c r="J35" s="223"/>
      <c r="K35" s="223"/>
      <c r="L35" s="223"/>
      <c r="M35" s="222"/>
      <c r="N35" s="76" t="s">
        <v>277</v>
      </c>
    </row>
    <row r="36" spans="1:14">
      <c r="A36" s="367"/>
      <c r="B36" s="369"/>
      <c r="C36" s="18">
        <v>2215</v>
      </c>
      <c r="D36" s="160"/>
      <c r="E36" s="160"/>
      <c r="F36" s="160"/>
      <c r="G36" s="222">
        <v>900</v>
      </c>
      <c r="H36" s="223"/>
      <c r="I36" s="223"/>
      <c r="J36" s="223"/>
      <c r="K36" s="223"/>
      <c r="L36" s="223"/>
      <c r="M36" s="222"/>
      <c r="N36" s="76" t="s">
        <v>278</v>
      </c>
    </row>
    <row r="37" spans="1:14">
      <c r="A37" s="367"/>
      <c r="B37" s="369"/>
      <c r="C37" s="18">
        <v>2231</v>
      </c>
      <c r="D37" s="160"/>
      <c r="E37" s="160"/>
      <c r="F37" s="160"/>
      <c r="G37" s="222">
        <v>257.2</v>
      </c>
      <c r="H37" s="223"/>
      <c r="I37" s="223"/>
      <c r="J37" s="223"/>
      <c r="K37" s="223"/>
      <c r="L37" s="223"/>
      <c r="M37" s="222"/>
      <c r="N37" s="76" t="s">
        <v>280</v>
      </c>
    </row>
    <row r="38" spans="1:14" ht="25.5">
      <c r="A38" s="367"/>
      <c r="B38" s="369"/>
      <c r="C38" s="18">
        <v>2225</v>
      </c>
      <c r="D38" s="160"/>
      <c r="E38" s="160"/>
      <c r="F38" s="160"/>
      <c r="G38" s="222"/>
      <c r="H38" s="223"/>
      <c r="I38" s="223"/>
      <c r="J38" s="223"/>
      <c r="K38" s="223"/>
      <c r="L38" s="223"/>
      <c r="M38" s="222">
        <v>18</v>
      </c>
      <c r="N38" s="76" t="s">
        <v>279</v>
      </c>
    </row>
    <row r="39" spans="1:14">
      <c r="A39" s="370"/>
      <c r="B39" s="371"/>
      <c r="C39" s="18">
        <v>3112</v>
      </c>
      <c r="D39" s="160"/>
      <c r="E39" s="160"/>
      <c r="F39" s="160"/>
      <c r="G39" s="222"/>
      <c r="H39" s="223"/>
      <c r="I39" s="223"/>
      <c r="J39" s="223"/>
      <c r="K39" s="223"/>
      <c r="L39" s="223"/>
      <c r="M39" s="222">
        <v>1000</v>
      </c>
      <c r="N39" s="76" t="s">
        <v>262</v>
      </c>
    </row>
    <row r="40" spans="1:14">
      <c r="A40" s="8"/>
      <c r="B40" s="229" t="s">
        <v>13</v>
      </c>
      <c r="C40" s="18">
        <v>3113</v>
      </c>
      <c r="D40" s="160"/>
      <c r="E40" s="160"/>
      <c r="F40" s="160"/>
      <c r="G40" s="222"/>
      <c r="H40" s="223"/>
      <c r="I40" s="223"/>
      <c r="J40" s="223"/>
      <c r="K40" s="223"/>
      <c r="L40" s="223"/>
      <c r="M40" s="222">
        <v>1000</v>
      </c>
      <c r="N40" s="76" t="s">
        <v>252</v>
      </c>
    </row>
    <row r="41" spans="1:14">
      <c r="A41" s="8"/>
      <c r="B41" s="18" t="s">
        <v>10</v>
      </c>
      <c r="C41" s="18">
        <v>2214</v>
      </c>
      <c r="D41" s="160"/>
      <c r="E41" s="160"/>
      <c r="F41" s="160"/>
      <c r="G41" s="222"/>
      <c r="H41" s="223"/>
      <c r="I41" s="223"/>
      <c r="J41" s="223"/>
      <c r="K41" s="223"/>
      <c r="L41" s="223"/>
      <c r="M41" s="222">
        <v>200</v>
      </c>
      <c r="N41" s="76" t="s">
        <v>259</v>
      </c>
    </row>
    <row r="42" spans="1:14">
      <c r="A42" s="366"/>
      <c r="B42" s="368" t="s">
        <v>12</v>
      </c>
      <c r="C42" s="18">
        <v>3111</v>
      </c>
      <c r="D42" s="160"/>
      <c r="E42" s="160"/>
      <c r="F42" s="160"/>
      <c r="G42" s="222"/>
      <c r="H42" s="223"/>
      <c r="I42" s="223"/>
      <c r="J42" s="223"/>
      <c r="K42" s="223"/>
      <c r="L42" s="223"/>
      <c r="M42" s="222">
        <v>2000</v>
      </c>
      <c r="N42" s="76" t="s">
        <v>260</v>
      </c>
    </row>
    <row r="43" spans="1:14">
      <c r="A43" s="367"/>
      <c r="B43" s="369"/>
      <c r="C43" s="18">
        <v>2222</v>
      </c>
      <c r="D43" s="160"/>
      <c r="E43" s="160"/>
      <c r="F43" s="160"/>
      <c r="G43" s="222"/>
      <c r="H43" s="223"/>
      <c r="I43" s="223"/>
      <c r="J43" s="223"/>
      <c r="K43" s="223"/>
      <c r="L43" s="223"/>
      <c r="M43" s="222">
        <v>5000</v>
      </c>
      <c r="N43" s="76" t="s">
        <v>298</v>
      </c>
    </row>
    <row r="44" spans="1:14">
      <c r="A44" s="367"/>
      <c r="B44" s="369"/>
      <c r="C44" s="18">
        <v>2222</v>
      </c>
      <c r="D44" s="160"/>
      <c r="E44" s="160"/>
      <c r="F44" s="160"/>
      <c r="G44" s="222"/>
      <c r="H44" s="223"/>
      <c r="I44" s="223"/>
      <c r="J44" s="223"/>
      <c r="K44" s="223"/>
      <c r="L44" s="223"/>
      <c r="M44" s="222">
        <v>1000</v>
      </c>
      <c r="N44" s="76" t="s">
        <v>273</v>
      </c>
    </row>
    <row r="45" spans="1:14">
      <c r="A45" s="367"/>
      <c r="B45" s="369"/>
      <c r="C45" s="18">
        <v>2215</v>
      </c>
      <c r="D45" s="160"/>
      <c r="E45" s="160"/>
      <c r="F45" s="160"/>
      <c r="G45" s="222"/>
      <c r="H45" s="223"/>
      <c r="I45" s="223"/>
      <c r="J45" s="223"/>
      <c r="K45" s="223"/>
      <c r="L45" s="223"/>
      <c r="M45" s="222">
        <v>330</v>
      </c>
      <c r="N45" s="76" t="s">
        <v>261</v>
      </c>
    </row>
    <row r="46" spans="1:14">
      <c r="A46" s="367"/>
      <c r="B46" s="369"/>
      <c r="C46" s="18">
        <v>3111</v>
      </c>
      <c r="D46" s="160"/>
      <c r="E46" s="160"/>
      <c r="F46" s="160"/>
      <c r="G46" s="222"/>
      <c r="H46" s="223"/>
      <c r="I46" s="223"/>
      <c r="J46" s="223"/>
      <c r="K46" s="223"/>
      <c r="L46" s="223"/>
      <c r="M46" s="222">
        <v>1000</v>
      </c>
      <c r="N46" s="76" t="s">
        <v>296</v>
      </c>
    </row>
    <row r="47" spans="1:14">
      <c r="A47" s="367"/>
      <c r="B47" s="369"/>
      <c r="C47" s="18">
        <v>3112</v>
      </c>
      <c r="D47" s="160"/>
      <c r="E47" s="160"/>
      <c r="F47" s="160"/>
      <c r="G47" s="222">
        <v>200</v>
      </c>
      <c r="H47" s="223"/>
      <c r="I47" s="223"/>
      <c r="J47" s="223"/>
      <c r="K47" s="223"/>
      <c r="L47" s="223"/>
      <c r="M47" s="222"/>
      <c r="N47" s="76" t="s">
        <v>297</v>
      </c>
    </row>
    <row r="48" spans="1:14">
      <c r="A48" s="367"/>
      <c r="B48" s="369"/>
      <c r="C48" s="18">
        <v>2222</v>
      </c>
      <c r="D48" s="160"/>
      <c r="E48" s="160"/>
      <c r="F48" s="160"/>
      <c r="G48" s="222">
        <v>500</v>
      </c>
      <c r="H48" s="223"/>
      <c r="I48" s="223"/>
      <c r="J48" s="223"/>
      <c r="K48" s="223"/>
      <c r="L48" s="223"/>
      <c r="M48" s="222"/>
      <c r="N48" s="76" t="s">
        <v>299</v>
      </c>
    </row>
    <row r="49" spans="1:18">
      <c r="A49" s="370"/>
      <c r="B49" s="371"/>
      <c r="C49" s="18">
        <v>2215</v>
      </c>
      <c r="D49" s="160"/>
      <c r="E49" s="160"/>
      <c r="F49" s="160"/>
      <c r="G49" s="222">
        <v>300</v>
      </c>
      <c r="H49" s="223"/>
      <c r="I49" s="223"/>
      <c r="J49" s="223"/>
      <c r="K49" s="223"/>
      <c r="L49" s="223"/>
      <c r="M49" s="222"/>
      <c r="N49" s="76" t="s">
        <v>300</v>
      </c>
    </row>
    <row r="50" spans="1:18" ht="25.5">
      <c r="A50" s="240"/>
      <c r="B50" s="229" t="s">
        <v>164</v>
      </c>
      <c r="C50" s="18">
        <v>3112</v>
      </c>
      <c r="D50" s="160"/>
      <c r="E50" s="160"/>
      <c r="F50" s="160"/>
      <c r="G50" s="222"/>
      <c r="H50" s="223"/>
      <c r="I50" s="223"/>
      <c r="J50" s="223"/>
      <c r="K50" s="223"/>
      <c r="L50" s="223"/>
      <c r="M50" s="222">
        <v>203</v>
      </c>
      <c r="N50" s="76" t="s">
        <v>289</v>
      </c>
    </row>
    <row r="51" spans="1:18">
      <c r="A51" s="366"/>
      <c r="B51" s="368" t="s">
        <v>14</v>
      </c>
      <c r="C51" s="18">
        <v>3111</v>
      </c>
      <c r="D51" s="160"/>
      <c r="E51" s="160"/>
      <c r="F51" s="160"/>
      <c r="G51" s="222">
        <v>1500</v>
      </c>
      <c r="H51" s="223"/>
      <c r="I51" s="223"/>
      <c r="J51" s="223"/>
      <c r="K51" s="223"/>
      <c r="L51" s="223"/>
      <c r="M51" s="222"/>
      <c r="N51" s="76" t="s">
        <v>258</v>
      </c>
    </row>
    <row r="52" spans="1:18">
      <c r="A52" s="367"/>
      <c r="B52" s="369"/>
      <c r="C52" s="18">
        <v>2214</v>
      </c>
      <c r="D52" s="160"/>
      <c r="E52" s="160"/>
      <c r="F52" s="160"/>
      <c r="G52" s="222"/>
      <c r="H52" s="223"/>
      <c r="I52" s="223"/>
      <c r="J52" s="223"/>
      <c r="K52" s="223"/>
      <c r="L52" s="223"/>
      <c r="M52" s="222">
        <v>39.6</v>
      </c>
      <c r="N52" s="76" t="s">
        <v>256</v>
      </c>
    </row>
    <row r="53" spans="1:18">
      <c r="A53" s="367"/>
      <c r="B53" s="369"/>
      <c r="C53" s="18">
        <v>2223</v>
      </c>
      <c r="D53" s="160"/>
      <c r="E53" s="160"/>
      <c r="F53" s="160"/>
      <c r="G53" s="222"/>
      <c r="H53" s="223"/>
      <c r="I53" s="223"/>
      <c r="J53" s="223"/>
      <c r="K53" s="223"/>
      <c r="L53" s="223"/>
      <c r="M53" s="222">
        <v>759.5</v>
      </c>
      <c r="N53" s="76" t="s">
        <v>257</v>
      </c>
    </row>
    <row r="54" spans="1:18">
      <c r="A54" s="8"/>
      <c r="B54" s="18" t="s">
        <v>263</v>
      </c>
      <c r="C54" s="18">
        <v>2511</v>
      </c>
      <c r="D54" s="160"/>
      <c r="E54" s="160"/>
      <c r="F54" s="160"/>
      <c r="G54" s="222">
        <v>2000</v>
      </c>
      <c r="H54" s="223"/>
      <c r="I54" s="223"/>
      <c r="J54" s="223"/>
      <c r="K54" s="223"/>
      <c r="L54" s="223"/>
      <c r="M54" s="222"/>
      <c r="N54" s="76" t="s">
        <v>290</v>
      </c>
    </row>
    <row r="55" spans="1:18" ht="25.5">
      <c r="A55" s="255"/>
      <c r="B55" s="229" t="s">
        <v>274</v>
      </c>
      <c r="C55" s="18"/>
      <c r="D55" s="18"/>
      <c r="E55" s="18"/>
      <c r="F55" s="18"/>
      <c r="G55" s="222">
        <v>5000</v>
      </c>
      <c r="H55" s="222"/>
      <c r="I55" s="222"/>
      <c r="J55" s="222"/>
      <c r="K55" s="222"/>
      <c r="L55" s="222"/>
      <c r="M55" s="222"/>
      <c r="N55" s="238" t="s">
        <v>312</v>
      </c>
    </row>
    <row r="56" spans="1:18" ht="13.15" customHeight="1">
      <c r="A56" s="255"/>
      <c r="B56" s="256" t="s">
        <v>228</v>
      </c>
      <c r="C56" s="18">
        <v>142219</v>
      </c>
      <c r="D56" s="224">
        <v>40000</v>
      </c>
      <c r="E56" s="224"/>
      <c r="F56" s="224"/>
      <c r="G56" s="222">
        <v>2000</v>
      </c>
      <c r="H56" s="225"/>
      <c r="I56" s="225"/>
      <c r="J56" s="225"/>
      <c r="K56" s="225"/>
      <c r="L56" s="225"/>
      <c r="M56" s="225"/>
      <c r="N56" s="11" t="s">
        <v>243</v>
      </c>
    </row>
    <row r="57" spans="1:18" ht="13.15" customHeight="1">
      <c r="A57" s="12"/>
      <c r="B57" s="10" t="s">
        <v>240</v>
      </c>
      <c r="C57" s="18"/>
      <c r="D57" s="224"/>
      <c r="E57" s="224"/>
      <c r="F57" s="224"/>
      <c r="G57" s="222">
        <v>1000</v>
      </c>
      <c r="H57" s="225"/>
      <c r="I57" s="225"/>
      <c r="J57" s="225"/>
      <c r="K57" s="225"/>
      <c r="L57" s="225"/>
      <c r="M57" s="225"/>
      <c r="N57" s="11" t="s">
        <v>243</v>
      </c>
    </row>
    <row r="58" spans="1:18" ht="13.15" customHeight="1">
      <c r="A58" s="12"/>
      <c r="B58" s="10"/>
      <c r="C58" s="18"/>
      <c r="D58" s="224"/>
      <c r="E58" s="224"/>
      <c r="F58" s="224"/>
      <c r="G58" s="222"/>
      <c r="H58" s="225"/>
      <c r="I58" s="225"/>
      <c r="J58" s="225"/>
      <c r="K58" s="225"/>
      <c r="L58" s="225"/>
      <c r="M58" s="225"/>
      <c r="N58" s="11"/>
    </row>
    <row r="59" spans="1:18">
      <c r="A59" s="18"/>
      <c r="B59" s="76"/>
      <c r="C59" s="18"/>
      <c r="D59" s="224"/>
      <c r="E59" s="224"/>
      <c r="F59" s="224"/>
      <c r="G59" s="226"/>
      <c r="H59" s="226"/>
      <c r="I59" s="226"/>
      <c r="J59" s="226"/>
      <c r="K59" s="226"/>
      <c r="L59" s="226"/>
      <c r="M59" s="226"/>
      <c r="N59" s="11"/>
      <c r="R59" s="26"/>
    </row>
    <row r="60" spans="1:18" ht="13.15" customHeight="1">
      <c r="A60" s="18"/>
      <c r="B60" s="76"/>
      <c r="C60" s="18"/>
      <c r="D60" s="227">
        <f>SUM(D56:D59)</f>
        <v>40000</v>
      </c>
      <c r="E60" s="227">
        <f>SUM(E56:E59)</f>
        <v>0</v>
      </c>
      <c r="F60" s="227">
        <f>SUM(F56:F59)</f>
        <v>0</v>
      </c>
      <c r="G60" s="223">
        <f>SUM(G6:G59)</f>
        <v>32684.100000000002</v>
      </c>
      <c r="H60" s="223">
        <f>SUM(H56:H59)</f>
        <v>0</v>
      </c>
      <c r="I60" s="223">
        <f>SUM(I56:I59)</f>
        <v>0</v>
      </c>
      <c r="J60" s="223">
        <f>SUM(J56:J59)</f>
        <v>0</v>
      </c>
      <c r="K60" s="223">
        <f>SUM(K56:K59)</f>
        <v>0</v>
      </c>
      <c r="L60" s="223">
        <f>SUM(L56:L59)</f>
        <v>0</v>
      </c>
      <c r="M60" s="223">
        <f>SUM(M6:M59)</f>
        <v>32584.099999999995</v>
      </c>
      <c r="N60" s="11"/>
    </row>
    <row r="61" spans="1:18">
      <c r="M61" s="26">
        <f>M60-G60</f>
        <v>-100.00000000000728</v>
      </c>
      <c r="N61" t="s">
        <v>307</v>
      </c>
    </row>
    <row r="62" spans="1:18">
      <c r="M62" s="249"/>
    </row>
    <row r="64" spans="1:18">
      <c r="G64" s="26"/>
      <c r="M64" s="26"/>
    </row>
    <row r="65" spans="2:15">
      <c r="G65" s="26"/>
    </row>
    <row r="66" spans="2:15">
      <c r="B66" s="232" t="s">
        <v>265</v>
      </c>
      <c r="C66" s="222">
        <v>47336.800000000003</v>
      </c>
      <c r="G66" s="26">
        <f>C66-G12-G11+M13+M14</f>
        <v>34499.800000000003</v>
      </c>
      <c r="M66" s="26"/>
      <c r="N66" s="26"/>
      <c r="O66" s="26"/>
    </row>
    <row r="67" spans="2:15">
      <c r="B67" s="232" t="s">
        <v>264</v>
      </c>
      <c r="C67" s="222">
        <v>105689.2</v>
      </c>
      <c r="G67" s="26"/>
      <c r="M67" s="26"/>
      <c r="N67" s="26"/>
    </row>
    <row r="68" spans="2:15">
      <c r="B68" s="232"/>
      <c r="C68" s="223">
        <f>SUM(C66:C67)</f>
        <v>153026</v>
      </c>
      <c r="G68" s="26"/>
      <c r="N68" s="26"/>
      <c r="O68" s="26"/>
    </row>
    <row r="69" spans="2:15">
      <c r="C69" s="241"/>
      <c r="G69" s="26"/>
      <c r="M69" s="230"/>
      <c r="N69" s="26"/>
      <c r="O69" s="26"/>
    </row>
    <row r="70" spans="2:15">
      <c r="B70" t="s">
        <v>266</v>
      </c>
      <c r="C70" s="230">
        <f>C68-G12-G11+M13+M14</f>
        <v>140189</v>
      </c>
      <c r="N70" s="230"/>
      <c r="O70" s="230"/>
    </row>
    <row r="71" spans="2:15">
      <c r="B71" s="365" t="s">
        <v>293</v>
      </c>
      <c r="C71" s="365"/>
      <c r="D71" s="25"/>
      <c r="E71" s="25"/>
      <c r="F71" s="25"/>
      <c r="G71" s="230">
        <v>105689.2</v>
      </c>
      <c r="M71" s="25" t="s">
        <v>301</v>
      </c>
      <c r="N71" s="245"/>
    </row>
    <row r="72" spans="2:15">
      <c r="G72" s="230">
        <f>C70-G71</f>
        <v>34499.800000000003</v>
      </c>
      <c r="M72" s="230" t="s">
        <v>302</v>
      </c>
      <c r="N72" s="231"/>
    </row>
    <row r="73" spans="2:15">
      <c r="C73" s="26"/>
    </row>
    <row r="74" spans="2:15">
      <c r="C74" s="230"/>
      <c r="D74" s="230"/>
      <c r="E74" s="230"/>
      <c r="F74" s="230"/>
      <c r="G74" s="230">
        <v>170467.4</v>
      </c>
      <c r="M74" t="s">
        <v>303</v>
      </c>
    </row>
    <row r="75" spans="2:15">
      <c r="C75" s="230"/>
      <c r="D75" s="230"/>
      <c r="E75" s="230"/>
      <c r="F75" s="230"/>
      <c r="G75" s="230"/>
      <c r="M75" s="26"/>
      <c r="N75" s="25"/>
    </row>
    <row r="76" spans="2:15">
      <c r="C76" s="230"/>
      <c r="D76" s="230"/>
      <c r="E76" s="230"/>
      <c r="F76" s="230"/>
      <c r="G76" s="230">
        <v>171420.6</v>
      </c>
      <c r="M76" t="s">
        <v>304</v>
      </c>
    </row>
    <row r="77" spans="2:15">
      <c r="C77" s="230"/>
      <c r="D77" s="230"/>
      <c r="E77" s="230"/>
      <c r="F77" s="230"/>
      <c r="G77" s="230">
        <f>G76-G74</f>
        <v>953.20000000001164</v>
      </c>
      <c r="M77" s="230" t="s">
        <v>306</v>
      </c>
      <c r="N77" s="247">
        <f>SUM(N78:N80)</f>
        <v>953.2</v>
      </c>
    </row>
    <row r="78" spans="2:15">
      <c r="M78" s="248" t="s">
        <v>305</v>
      </c>
      <c r="N78" s="246">
        <v>94.5</v>
      </c>
    </row>
    <row r="79" spans="2:15">
      <c r="M79" s="248" t="s">
        <v>311</v>
      </c>
      <c r="N79" s="246">
        <v>958.7</v>
      </c>
    </row>
    <row r="80" spans="2:15">
      <c r="M80" s="248" t="s">
        <v>308</v>
      </c>
      <c r="N80" s="246">
        <v>-100</v>
      </c>
    </row>
  </sheetData>
  <mergeCells count="21">
    <mergeCell ref="A3:N3"/>
    <mergeCell ref="A6:A10"/>
    <mergeCell ref="B6:B10"/>
    <mergeCell ref="N7:N8"/>
    <mergeCell ref="A11:A14"/>
    <mergeCell ref="B11:B14"/>
    <mergeCell ref="A15:A17"/>
    <mergeCell ref="B15:B17"/>
    <mergeCell ref="A18:A22"/>
    <mergeCell ref="B18:B22"/>
    <mergeCell ref="A23:A28"/>
    <mergeCell ref="B23:B28"/>
    <mergeCell ref="B71:C71"/>
    <mergeCell ref="A51:A53"/>
    <mergeCell ref="B51:B53"/>
    <mergeCell ref="A31:A34"/>
    <mergeCell ref="B31:B34"/>
    <mergeCell ref="A35:A39"/>
    <mergeCell ref="B35:B39"/>
    <mergeCell ref="A42:A49"/>
    <mergeCell ref="B42:B4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  <pageSetUpPr fitToPage="1"/>
  </sheetPr>
  <dimension ref="A1:AA21"/>
  <sheetViews>
    <sheetView view="pageBreakPreview" zoomScale="85" zoomScaleNormal="85" zoomScaleSheetLayoutView="85" workbookViewId="0">
      <selection activeCell="V18" sqref="V18"/>
    </sheetView>
  </sheetViews>
  <sheetFormatPr defaultColWidth="9.140625" defaultRowHeight="12.75"/>
  <cols>
    <col min="1" max="1" width="3.5703125" style="64" bestFit="1" customWidth="1"/>
    <col min="2" max="2" width="27.28515625" style="64" customWidth="1"/>
    <col min="3" max="3" width="5.28515625" style="64" customWidth="1"/>
    <col min="4" max="4" width="7.7109375" style="64" customWidth="1"/>
    <col min="5" max="5" width="6" style="64" customWidth="1"/>
    <col min="6" max="6" width="8.140625" style="64" customWidth="1"/>
    <col min="7" max="7" width="5.7109375" style="64" customWidth="1"/>
    <col min="8" max="8" width="7.28515625" style="64" customWidth="1"/>
    <col min="9" max="9" width="6.140625" style="64" customWidth="1"/>
    <col min="10" max="11" width="9.42578125" style="64" hidden="1" customWidth="1"/>
    <col min="12" max="12" width="6.42578125" style="64" customWidth="1"/>
    <col min="13" max="13" width="10.140625" style="64" bestFit="1" customWidth="1"/>
    <col min="14" max="14" width="6.5703125" style="64" customWidth="1"/>
    <col min="15" max="15" width="8.7109375" style="64" customWidth="1"/>
    <col min="16" max="16" width="5.7109375" style="64" customWidth="1"/>
    <col min="17" max="17" width="7.28515625" style="64" customWidth="1"/>
    <col min="18" max="20" width="8.5703125" style="64" customWidth="1"/>
    <col min="21" max="21" width="9.7109375" style="64" customWidth="1"/>
    <col min="22" max="22" width="8.5703125" style="64" customWidth="1"/>
    <col min="23" max="24" width="8.5703125" style="64" hidden="1" customWidth="1"/>
    <col min="25" max="25" width="10" style="64" customWidth="1"/>
    <col min="26" max="26" width="8.5703125" style="64" customWidth="1"/>
    <col min="27" max="27" width="9.7109375" style="64" customWidth="1"/>
    <col min="28" max="16384" width="9.140625" style="64"/>
  </cols>
  <sheetData>
    <row r="1" spans="1:27" ht="69.599999999999994" customHeight="1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Z1" s="399" t="s">
        <v>517</v>
      </c>
      <c r="AA1" s="399"/>
    </row>
    <row r="2" spans="1:27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3"/>
    </row>
    <row r="3" spans="1:27">
      <c r="A3" s="442" t="s">
        <v>186</v>
      </c>
      <c r="B3" s="442"/>
      <c r="C3" s="442"/>
      <c r="D3" s="442"/>
      <c r="E3" s="442"/>
      <c r="F3" s="442"/>
      <c r="G3" s="442"/>
      <c r="H3" s="442"/>
      <c r="I3" s="442"/>
      <c r="J3" s="442"/>
      <c r="K3" s="442"/>
      <c r="L3" s="442"/>
      <c r="M3" s="442"/>
      <c r="N3" s="442"/>
      <c r="O3" s="442"/>
      <c r="P3" s="442"/>
      <c r="Q3" s="442"/>
      <c r="R3" s="442"/>
      <c r="S3" s="442"/>
      <c r="T3" s="442"/>
      <c r="U3" s="442"/>
      <c r="V3" s="442"/>
      <c r="W3" s="442"/>
      <c r="X3" s="442"/>
      <c r="Y3" s="442"/>
      <c r="Z3" s="442"/>
      <c r="AA3" s="442"/>
    </row>
    <row r="4" spans="1:27" ht="13.1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</row>
    <row r="5" spans="1:27" ht="13.9" customHeight="1">
      <c r="A5" s="437" t="s">
        <v>0</v>
      </c>
      <c r="B5" s="437" t="s">
        <v>20</v>
      </c>
      <c r="C5" s="437" t="s">
        <v>21</v>
      </c>
      <c r="D5" s="437" t="s">
        <v>22</v>
      </c>
      <c r="E5" s="437" t="s">
        <v>103</v>
      </c>
      <c r="F5" s="453" t="s">
        <v>23</v>
      </c>
      <c r="G5" s="434" t="s">
        <v>104</v>
      </c>
      <c r="H5" s="435"/>
      <c r="I5" s="435"/>
      <c r="J5" s="435"/>
      <c r="K5" s="435"/>
      <c r="L5" s="435"/>
      <c r="M5" s="435"/>
      <c r="N5" s="435"/>
      <c r="O5" s="435"/>
      <c r="P5" s="435"/>
      <c r="Q5" s="436"/>
      <c r="R5" s="437" t="s">
        <v>28</v>
      </c>
      <c r="S5" s="441" t="s">
        <v>167</v>
      </c>
      <c r="T5" s="437" t="s">
        <v>105</v>
      </c>
      <c r="U5" s="437" t="s">
        <v>106</v>
      </c>
      <c r="V5" s="437" t="s">
        <v>108</v>
      </c>
      <c r="W5" s="446" t="s">
        <v>109</v>
      </c>
      <c r="X5" s="447"/>
      <c r="Y5" s="437" t="s">
        <v>110</v>
      </c>
      <c r="Z5" s="437" t="s">
        <v>111</v>
      </c>
      <c r="AA5" s="437" t="s">
        <v>112</v>
      </c>
    </row>
    <row r="6" spans="1:27" ht="110.45" customHeight="1">
      <c r="A6" s="452"/>
      <c r="B6" s="452"/>
      <c r="C6" s="452"/>
      <c r="D6" s="452"/>
      <c r="E6" s="452"/>
      <c r="F6" s="454"/>
      <c r="G6" s="444" t="s">
        <v>85</v>
      </c>
      <c r="H6" s="445"/>
      <c r="I6" s="127" t="s">
        <v>25</v>
      </c>
      <c r="J6" s="444" t="s">
        <v>24</v>
      </c>
      <c r="K6" s="445"/>
      <c r="L6" s="444" t="s">
        <v>114</v>
      </c>
      <c r="M6" s="445"/>
      <c r="N6" s="444" t="s">
        <v>26</v>
      </c>
      <c r="O6" s="445"/>
      <c r="P6" s="439" t="s">
        <v>115</v>
      </c>
      <c r="Q6" s="440"/>
      <c r="R6" s="438"/>
      <c r="S6" s="441"/>
      <c r="T6" s="438"/>
      <c r="U6" s="438"/>
      <c r="V6" s="438"/>
      <c r="W6" s="448"/>
      <c r="X6" s="449"/>
      <c r="Y6" s="438"/>
      <c r="Z6" s="438"/>
      <c r="AA6" s="438"/>
    </row>
    <row r="7" spans="1:27">
      <c r="A7" s="438"/>
      <c r="B7" s="438"/>
      <c r="C7" s="438"/>
      <c r="D7" s="438"/>
      <c r="E7" s="438"/>
      <c r="F7" s="455"/>
      <c r="G7" s="125" t="s">
        <v>3</v>
      </c>
      <c r="H7" s="125" t="s">
        <v>29</v>
      </c>
      <c r="I7" s="125" t="s">
        <v>29</v>
      </c>
      <c r="J7" s="125" t="s">
        <v>3</v>
      </c>
      <c r="K7" s="125" t="s">
        <v>29</v>
      </c>
      <c r="L7" s="125" t="s">
        <v>3</v>
      </c>
      <c r="M7" s="125" t="s">
        <v>29</v>
      </c>
      <c r="N7" s="125" t="s">
        <v>3</v>
      </c>
      <c r="O7" s="125" t="s">
        <v>29</v>
      </c>
      <c r="P7" s="125" t="s">
        <v>3</v>
      </c>
      <c r="Q7" s="125" t="s">
        <v>29</v>
      </c>
      <c r="R7" s="125" t="s">
        <v>29</v>
      </c>
      <c r="S7" s="125" t="s">
        <v>29</v>
      </c>
      <c r="T7" s="125" t="s">
        <v>29</v>
      </c>
      <c r="U7" s="125" t="s">
        <v>29</v>
      </c>
      <c r="V7" s="125" t="s">
        <v>29</v>
      </c>
      <c r="W7" s="125" t="s">
        <v>190</v>
      </c>
      <c r="X7" s="125" t="s">
        <v>29</v>
      </c>
      <c r="Y7" s="125" t="s">
        <v>29</v>
      </c>
      <c r="Z7" s="125" t="s">
        <v>29</v>
      </c>
      <c r="AA7" s="125" t="s">
        <v>29</v>
      </c>
    </row>
    <row r="8" spans="1:27">
      <c r="A8" s="125">
        <v>1</v>
      </c>
      <c r="B8" s="125">
        <v>2</v>
      </c>
      <c r="C8" s="125">
        <v>3</v>
      </c>
      <c r="D8" s="125">
        <v>4</v>
      </c>
      <c r="E8" s="125">
        <v>5</v>
      </c>
      <c r="F8" s="125">
        <v>6</v>
      </c>
      <c r="G8" s="125">
        <v>7</v>
      </c>
      <c r="H8" s="125">
        <v>8</v>
      </c>
      <c r="I8" s="125">
        <v>9</v>
      </c>
      <c r="J8" s="125">
        <v>10</v>
      </c>
      <c r="K8" s="125">
        <v>11</v>
      </c>
      <c r="L8" s="125">
        <v>10</v>
      </c>
      <c r="M8" s="125">
        <v>11</v>
      </c>
      <c r="N8" s="125">
        <v>12</v>
      </c>
      <c r="O8" s="125">
        <v>13</v>
      </c>
      <c r="P8" s="125">
        <v>14</v>
      </c>
      <c r="Q8" s="125">
        <v>15</v>
      </c>
      <c r="R8" s="125">
        <v>16</v>
      </c>
      <c r="S8" s="125">
        <v>17</v>
      </c>
      <c r="T8" s="125">
        <v>18</v>
      </c>
      <c r="U8" s="125">
        <v>19</v>
      </c>
      <c r="V8" s="125">
        <v>20</v>
      </c>
      <c r="W8" s="125">
        <v>21</v>
      </c>
      <c r="X8" s="125">
        <v>22</v>
      </c>
      <c r="Y8" s="125">
        <v>23</v>
      </c>
      <c r="Z8" s="125">
        <v>24</v>
      </c>
      <c r="AA8" s="125"/>
    </row>
    <row r="9" spans="1:27">
      <c r="A9" s="434" t="s">
        <v>354</v>
      </c>
      <c r="B9" s="435"/>
      <c r="C9" s="435"/>
      <c r="D9" s="435"/>
      <c r="E9" s="435"/>
      <c r="F9" s="435"/>
      <c r="G9" s="435"/>
      <c r="H9" s="435"/>
      <c r="I9" s="435"/>
      <c r="J9" s="435"/>
      <c r="K9" s="435"/>
      <c r="L9" s="435"/>
      <c r="M9" s="435"/>
      <c r="N9" s="435"/>
      <c r="O9" s="435"/>
      <c r="P9" s="435"/>
      <c r="Q9" s="435"/>
      <c r="R9" s="435"/>
      <c r="S9" s="435"/>
      <c r="T9" s="435"/>
      <c r="U9" s="435"/>
      <c r="V9" s="435"/>
      <c r="W9" s="435"/>
      <c r="X9" s="435"/>
      <c r="Y9" s="435"/>
      <c r="Z9" s="435"/>
      <c r="AA9" s="436"/>
    </row>
    <row r="10" spans="1:27">
      <c r="A10" s="78">
        <v>1</v>
      </c>
      <c r="B10" s="77" t="s">
        <v>33</v>
      </c>
      <c r="C10" s="79">
        <v>1</v>
      </c>
      <c r="D10" s="85">
        <v>7040</v>
      </c>
      <c r="E10" s="129">
        <v>1</v>
      </c>
      <c r="F10" s="85">
        <f t="shared" ref="F10:F11" si="0">+D10*E10</f>
        <v>7040</v>
      </c>
      <c r="G10" s="73"/>
      <c r="H10" s="85">
        <f t="shared" ref="H10" si="1">F10*G10</f>
        <v>0</v>
      </c>
      <c r="I10" s="85"/>
      <c r="J10" s="73"/>
      <c r="K10" s="79"/>
      <c r="L10" s="79"/>
      <c r="M10" s="85">
        <f>+F10*L10</f>
        <v>0</v>
      </c>
      <c r="N10" s="114"/>
      <c r="O10" s="85"/>
      <c r="P10" s="130">
        <v>0.5</v>
      </c>
      <c r="Q10" s="85">
        <f>F10*P10</f>
        <v>3520</v>
      </c>
      <c r="R10" s="85">
        <f t="shared" ref="R10:R11" si="2">F10+H10+I10+K10+Q10+M10+O10</f>
        <v>10560</v>
      </c>
      <c r="S10" s="85">
        <f t="shared" ref="S10:S11" si="3">R10*C10</f>
        <v>10560</v>
      </c>
      <c r="T10" s="85"/>
      <c r="U10" s="85"/>
      <c r="V10" s="85">
        <f t="shared" ref="V10:V11" si="4">(S10*14.0135)/12</f>
        <v>12331.88</v>
      </c>
      <c r="W10" s="85"/>
      <c r="X10" s="85"/>
      <c r="Y10" s="85">
        <f>(S10*8)+T10+U10+V10+X10</f>
        <v>96811.88</v>
      </c>
      <c r="Z10" s="85">
        <f>((S10*8)+T10+V10)*0.1725</f>
        <v>16700.049299999999</v>
      </c>
      <c r="AA10" s="85">
        <f>Y10+Z10</f>
        <v>113511.9293</v>
      </c>
    </row>
    <row r="11" spans="1:27">
      <c r="A11" s="78">
        <v>2</v>
      </c>
      <c r="B11" s="15" t="s">
        <v>66</v>
      </c>
      <c r="C11" s="79">
        <v>1</v>
      </c>
      <c r="D11" s="85">
        <v>7040</v>
      </c>
      <c r="E11" s="129">
        <v>1</v>
      </c>
      <c r="F11" s="85">
        <f t="shared" si="0"/>
        <v>7040</v>
      </c>
      <c r="G11" s="73"/>
      <c r="H11" s="85"/>
      <c r="I11" s="85"/>
      <c r="J11" s="73"/>
      <c r="K11" s="79"/>
      <c r="L11" s="79"/>
      <c r="M11" s="85">
        <f>+F11*L11</f>
        <v>0</v>
      </c>
      <c r="N11" s="114"/>
      <c r="O11" s="85"/>
      <c r="P11" s="130">
        <v>0.25</v>
      </c>
      <c r="Q11" s="85">
        <f>F11*P11</f>
        <v>1760</v>
      </c>
      <c r="R11" s="85">
        <f t="shared" si="2"/>
        <v>8800</v>
      </c>
      <c r="S11" s="85">
        <f t="shared" si="3"/>
        <v>8800</v>
      </c>
      <c r="T11" s="85"/>
      <c r="U11" s="85"/>
      <c r="V11" s="85">
        <f t="shared" si="4"/>
        <v>10276.566666666668</v>
      </c>
      <c r="W11" s="85"/>
      <c r="X11" s="85"/>
      <c r="Y11" s="85">
        <f>(S11*8)+T11+U11+V11+X11</f>
        <v>80676.566666666666</v>
      </c>
      <c r="Z11" s="85">
        <f>((S11*8)+T11+V11)*0.1725</f>
        <v>13916.70775</v>
      </c>
      <c r="AA11" s="85">
        <f>Y11+Z11</f>
        <v>94593.274416666667</v>
      </c>
    </row>
    <row r="12" spans="1:27">
      <c r="A12" s="125"/>
      <c r="B12" s="125" t="s">
        <v>31</v>
      </c>
      <c r="C12" s="82">
        <f>SUM(C10:C11)</f>
        <v>2</v>
      </c>
      <c r="D12" s="132">
        <f>SUM(D10:D11)</f>
        <v>14080</v>
      </c>
      <c r="E12" s="83"/>
      <c r="F12" s="132">
        <f>SUM(F10:F11)</f>
        <v>14080</v>
      </c>
      <c r="G12" s="83"/>
      <c r="H12" s="132">
        <f t="shared" ref="H12:M12" si="5">SUM(H10:H11)</f>
        <v>0</v>
      </c>
      <c r="I12" s="132">
        <f t="shared" si="5"/>
        <v>0</v>
      </c>
      <c r="J12" s="83">
        <f t="shared" si="5"/>
        <v>0</v>
      </c>
      <c r="K12" s="83">
        <f t="shared" si="5"/>
        <v>0</v>
      </c>
      <c r="L12" s="83">
        <f t="shared" si="5"/>
        <v>0</v>
      </c>
      <c r="M12" s="132">
        <f t="shared" si="5"/>
        <v>0</v>
      </c>
      <c r="N12" s="83"/>
      <c r="O12" s="132">
        <f>SUM(O10:O11)</f>
        <v>0</v>
      </c>
      <c r="P12" s="83"/>
      <c r="Q12" s="132">
        <f t="shared" ref="Q12:AA12" si="6">SUM(Q10:Q11)</f>
        <v>5280</v>
      </c>
      <c r="R12" s="132">
        <f t="shared" si="6"/>
        <v>19360</v>
      </c>
      <c r="S12" s="132">
        <f t="shared" si="6"/>
        <v>19360</v>
      </c>
      <c r="T12" s="132">
        <f t="shared" si="6"/>
        <v>0</v>
      </c>
      <c r="U12" s="132">
        <f t="shared" si="6"/>
        <v>0</v>
      </c>
      <c r="V12" s="132">
        <f t="shared" si="6"/>
        <v>22608.446666666667</v>
      </c>
      <c r="W12" s="132"/>
      <c r="X12" s="132">
        <f t="shared" si="6"/>
        <v>0</v>
      </c>
      <c r="Y12" s="132">
        <f t="shared" si="6"/>
        <v>177488.44666666666</v>
      </c>
      <c r="Z12" s="132">
        <f t="shared" si="6"/>
        <v>30616.75705</v>
      </c>
      <c r="AA12" s="132">
        <f t="shared" si="6"/>
        <v>208105.20371666667</v>
      </c>
    </row>
    <row r="13" spans="1:27" ht="13.9" customHeight="1">
      <c r="A13" s="434" t="s">
        <v>355</v>
      </c>
      <c r="B13" s="435"/>
      <c r="C13" s="435"/>
      <c r="D13" s="435"/>
      <c r="E13" s="435"/>
      <c r="F13" s="435"/>
      <c r="G13" s="435"/>
      <c r="H13" s="435"/>
      <c r="I13" s="435"/>
      <c r="J13" s="435"/>
      <c r="K13" s="435"/>
      <c r="L13" s="435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6"/>
    </row>
    <row r="14" spans="1:27">
      <c r="A14" s="78">
        <v>1</v>
      </c>
      <c r="B14" s="77" t="s">
        <v>33</v>
      </c>
      <c r="C14" s="79">
        <v>1</v>
      </c>
      <c r="D14" s="85">
        <v>7040</v>
      </c>
      <c r="E14" s="129">
        <v>1.2</v>
      </c>
      <c r="F14" s="85">
        <f t="shared" ref="F14:F15" si="7">+D14*E14</f>
        <v>8448</v>
      </c>
      <c r="G14" s="73"/>
      <c r="H14" s="85">
        <f t="shared" ref="H14" si="8">F14*G14</f>
        <v>0</v>
      </c>
      <c r="I14" s="85"/>
      <c r="J14" s="73"/>
      <c r="K14" s="79"/>
      <c r="L14" s="79"/>
      <c r="M14" s="85">
        <f>+F14*L14</f>
        <v>0</v>
      </c>
      <c r="N14" s="114"/>
      <c r="O14" s="85"/>
      <c r="P14" s="130">
        <v>0.5</v>
      </c>
      <c r="Q14" s="85">
        <f>F14*P14</f>
        <v>4224</v>
      </c>
      <c r="R14" s="85">
        <f t="shared" ref="R14:R15" si="9">F14+H14+I14+K14+Q14+M14+O14</f>
        <v>12672</v>
      </c>
      <c r="S14" s="85">
        <f t="shared" ref="S14:S15" si="10">R14*C14</f>
        <v>12672</v>
      </c>
      <c r="T14" s="85"/>
      <c r="U14" s="85"/>
      <c r="V14" s="85">
        <f t="shared" ref="V14:V15" si="11">(S14*14.0135)/12</f>
        <v>14798.256000000001</v>
      </c>
      <c r="W14" s="85"/>
      <c r="X14" s="85"/>
      <c r="Y14" s="85">
        <f t="shared" ref="Y14:Y15" si="12">(S14*8)+T14+U14+V14+X14</f>
        <v>116174.25599999999</v>
      </c>
      <c r="Z14" s="85">
        <f t="shared" ref="Z14:Z15" si="13">((S14*8)+T14+V14)*0.1725</f>
        <v>20040.059159999997</v>
      </c>
      <c r="AA14" s="85">
        <f>Y14+Z14</f>
        <v>136214.31516</v>
      </c>
    </row>
    <row r="15" spans="1:27">
      <c r="A15" s="78">
        <v>2</v>
      </c>
      <c r="B15" s="15" t="s">
        <v>66</v>
      </c>
      <c r="C15" s="79">
        <v>1</v>
      </c>
      <c r="D15" s="85">
        <v>7040</v>
      </c>
      <c r="E15" s="129">
        <v>1.2</v>
      </c>
      <c r="F15" s="85">
        <f t="shared" si="7"/>
        <v>8448</v>
      </c>
      <c r="G15" s="73"/>
      <c r="H15" s="85"/>
      <c r="I15" s="85"/>
      <c r="J15" s="73"/>
      <c r="K15" s="79"/>
      <c r="L15" s="79"/>
      <c r="M15" s="85">
        <f>+F15*L15</f>
        <v>0</v>
      </c>
      <c r="N15" s="114"/>
      <c r="O15" s="85"/>
      <c r="P15" s="130">
        <v>0.25</v>
      </c>
      <c r="Q15" s="85">
        <f>F15*P15</f>
        <v>2112</v>
      </c>
      <c r="R15" s="85">
        <f t="shared" si="9"/>
        <v>10560</v>
      </c>
      <c r="S15" s="85">
        <f t="shared" si="10"/>
        <v>10560</v>
      </c>
      <c r="T15" s="85"/>
      <c r="U15" s="85"/>
      <c r="V15" s="85">
        <f t="shared" si="11"/>
        <v>12331.88</v>
      </c>
      <c r="W15" s="85"/>
      <c r="X15" s="85"/>
      <c r="Y15" s="85">
        <f t="shared" si="12"/>
        <v>96811.88</v>
      </c>
      <c r="Z15" s="85">
        <f t="shared" si="13"/>
        <v>16700.049299999999</v>
      </c>
      <c r="AA15" s="85">
        <f>Y15+Z15</f>
        <v>113511.9293</v>
      </c>
    </row>
    <row r="16" spans="1:27">
      <c r="A16" s="125"/>
      <c r="B16" s="125" t="s">
        <v>31</v>
      </c>
      <c r="C16" s="82">
        <f>SUM(C14:C15)</f>
        <v>2</v>
      </c>
      <c r="D16" s="132">
        <f>SUM(D14:D15)</f>
        <v>14080</v>
      </c>
      <c r="E16" s="83"/>
      <c r="F16" s="132">
        <f>SUM(F14:F15)</f>
        <v>16896</v>
      </c>
      <c r="G16" s="83"/>
      <c r="H16" s="132">
        <f t="shared" ref="H16:M16" si="14">SUM(H14:H15)</f>
        <v>0</v>
      </c>
      <c r="I16" s="132">
        <f t="shared" si="14"/>
        <v>0</v>
      </c>
      <c r="J16" s="83">
        <f t="shared" si="14"/>
        <v>0</v>
      </c>
      <c r="K16" s="83">
        <f t="shared" si="14"/>
        <v>0</v>
      </c>
      <c r="L16" s="83">
        <f t="shared" si="14"/>
        <v>0</v>
      </c>
      <c r="M16" s="132">
        <f t="shared" si="14"/>
        <v>0</v>
      </c>
      <c r="N16" s="83"/>
      <c r="O16" s="132">
        <f>SUM(O14:O15)</f>
        <v>0</v>
      </c>
      <c r="P16" s="83"/>
      <c r="Q16" s="132">
        <f t="shared" ref="Q16:V16" si="15">SUM(Q14:Q15)</f>
        <v>6336</v>
      </c>
      <c r="R16" s="132">
        <f t="shared" si="15"/>
        <v>23232</v>
      </c>
      <c r="S16" s="132">
        <f t="shared" si="15"/>
        <v>23232</v>
      </c>
      <c r="T16" s="132">
        <f t="shared" si="15"/>
        <v>0</v>
      </c>
      <c r="U16" s="132">
        <f t="shared" si="15"/>
        <v>0</v>
      </c>
      <c r="V16" s="132">
        <f t="shared" si="15"/>
        <v>27130.135999999999</v>
      </c>
      <c r="W16" s="132"/>
      <c r="X16" s="132">
        <f t="shared" ref="X16:AA16" si="16">SUM(X14:X15)</f>
        <v>0</v>
      </c>
      <c r="Y16" s="132">
        <f t="shared" si="16"/>
        <v>212986.136</v>
      </c>
      <c r="Z16" s="132">
        <f t="shared" si="16"/>
        <v>36740.108459999996</v>
      </c>
      <c r="AA16" s="132">
        <f t="shared" si="16"/>
        <v>249726.24446000002</v>
      </c>
    </row>
    <row r="17" spans="2:26">
      <c r="X17" s="115"/>
      <c r="Y17" s="165"/>
      <c r="Z17" s="165"/>
    </row>
    <row r="20" spans="2:26">
      <c r="B20" s="451" t="s">
        <v>516</v>
      </c>
      <c r="C20" s="450"/>
      <c r="D20" s="450"/>
      <c r="E20" s="450"/>
      <c r="F20" s="450"/>
      <c r="G20" s="450"/>
      <c r="H20" s="450"/>
      <c r="I20" s="450"/>
      <c r="J20" s="450"/>
      <c r="K20" s="450"/>
      <c r="L20" s="450"/>
      <c r="M20" s="450"/>
      <c r="N20" s="450"/>
      <c r="O20" s="450"/>
      <c r="P20" s="450"/>
      <c r="Q20" s="450"/>
      <c r="R20" s="450"/>
      <c r="S20" s="450"/>
      <c r="T20" s="450"/>
      <c r="U20" s="450"/>
    </row>
    <row r="21" spans="2:26">
      <c r="B21" s="450"/>
      <c r="C21" s="450"/>
      <c r="D21" s="450"/>
      <c r="E21" s="450"/>
      <c r="F21" s="450"/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50"/>
      <c r="R21" s="450"/>
      <c r="S21" s="450"/>
      <c r="T21" s="450"/>
      <c r="U21" s="450"/>
    </row>
  </sheetData>
  <mergeCells count="26">
    <mergeCell ref="B20:U21"/>
    <mergeCell ref="Z1:AA1"/>
    <mergeCell ref="A3:AA3"/>
    <mergeCell ref="A5:A7"/>
    <mergeCell ref="B5:B7"/>
    <mergeCell ref="C5:C7"/>
    <mergeCell ref="D5:D7"/>
    <mergeCell ref="E5:E7"/>
    <mergeCell ref="F5:F7"/>
    <mergeCell ref="G5:Q5"/>
    <mergeCell ref="R5:R6"/>
    <mergeCell ref="S5:S6"/>
    <mergeCell ref="Z5:Z6"/>
    <mergeCell ref="AA5:AA6"/>
    <mergeCell ref="G6:H6"/>
    <mergeCell ref="J6:K6"/>
    <mergeCell ref="V5:V6"/>
    <mergeCell ref="Y5:Y6"/>
    <mergeCell ref="A9:AA9"/>
    <mergeCell ref="A13:AA13"/>
    <mergeCell ref="W5:X6"/>
    <mergeCell ref="L6:M6"/>
    <mergeCell ref="N6:O6"/>
    <mergeCell ref="P6:Q6"/>
    <mergeCell ref="T5:T6"/>
    <mergeCell ref="U5:U6"/>
  </mergeCells>
  <pageMargins left="0" right="0" top="0.74803149606299213" bottom="0.74803149606299213" header="0.31496062992125984" footer="0.31496062992125984"/>
  <pageSetup paperSize="9" scale="75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  <pageSetUpPr fitToPage="1"/>
  </sheetPr>
  <dimension ref="A1:Z47"/>
  <sheetViews>
    <sheetView view="pageBreakPreview" topLeftCell="A15" zoomScaleNormal="85" zoomScaleSheetLayoutView="100" workbookViewId="0">
      <selection activeCell="V46" sqref="V46"/>
    </sheetView>
  </sheetViews>
  <sheetFormatPr defaultColWidth="9.140625" defaultRowHeight="12.75"/>
  <cols>
    <col min="1" max="1" width="3.5703125" style="64" customWidth="1"/>
    <col min="2" max="2" width="33.7109375" style="64" customWidth="1"/>
    <col min="3" max="3" width="4.42578125" style="64" customWidth="1"/>
    <col min="4" max="4" width="7.85546875" style="64" customWidth="1"/>
    <col min="5" max="5" width="5.42578125" style="64" customWidth="1"/>
    <col min="6" max="6" width="7.7109375" style="64" customWidth="1"/>
    <col min="7" max="7" width="6" style="64" customWidth="1"/>
    <col min="8" max="8" width="7.28515625" style="64" customWidth="1"/>
    <col min="9" max="9" width="6.42578125" style="64" hidden="1" customWidth="1"/>
    <col min="10" max="11" width="9.140625" style="64" hidden="1" customWidth="1"/>
    <col min="12" max="12" width="6.85546875" style="64" hidden="1" customWidth="1"/>
    <col min="13" max="13" width="7.140625" style="64" hidden="1" customWidth="1"/>
    <col min="14" max="14" width="4.42578125" style="64" customWidth="1"/>
    <col min="15" max="15" width="7.85546875" style="64" customWidth="1"/>
    <col min="16" max="16" width="6.42578125" style="64" customWidth="1"/>
    <col min="17" max="17" width="7.28515625" style="64" customWidth="1"/>
    <col min="18" max="20" width="8.7109375" style="64" customWidth="1"/>
    <col min="21" max="21" width="10.7109375" style="64" customWidth="1"/>
    <col min="22" max="22" width="8.7109375" style="64" customWidth="1"/>
    <col min="23" max="23" width="9.7109375" style="64" customWidth="1"/>
    <col min="24" max="24" width="8.7109375" style="64" customWidth="1"/>
    <col min="25" max="26" width="9.85546875" style="64" customWidth="1"/>
    <col min="27" max="16384" width="9.140625" style="64"/>
  </cols>
  <sheetData>
    <row r="1" spans="1:26" ht="67.900000000000006" customHeight="1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X1" s="399" t="s">
        <v>518</v>
      </c>
      <c r="Y1" s="399"/>
      <c r="Z1" s="3"/>
    </row>
    <row r="2" spans="1:26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</row>
    <row r="3" spans="1:26">
      <c r="A3" s="442" t="s">
        <v>133</v>
      </c>
      <c r="B3" s="442"/>
      <c r="C3" s="442"/>
      <c r="D3" s="442"/>
      <c r="E3" s="442"/>
      <c r="F3" s="442"/>
      <c r="G3" s="442"/>
      <c r="H3" s="442"/>
      <c r="I3" s="442"/>
      <c r="J3" s="442"/>
      <c r="K3" s="442"/>
      <c r="L3" s="442"/>
      <c r="M3" s="442"/>
      <c r="N3" s="442"/>
      <c r="O3" s="442"/>
      <c r="P3" s="442"/>
      <c r="Q3" s="442"/>
      <c r="R3" s="442"/>
      <c r="S3" s="442"/>
      <c r="T3" s="442"/>
      <c r="U3" s="442"/>
      <c r="V3" s="442"/>
      <c r="W3" s="442"/>
      <c r="X3" s="442"/>
      <c r="Y3" s="442"/>
      <c r="Z3" s="9"/>
    </row>
    <row r="5" spans="1:26" ht="13.9" customHeight="1">
      <c r="A5" s="437" t="s">
        <v>0</v>
      </c>
      <c r="B5" s="437" t="s">
        <v>20</v>
      </c>
      <c r="C5" s="437" t="s">
        <v>21</v>
      </c>
      <c r="D5" s="437" t="s">
        <v>22</v>
      </c>
      <c r="E5" s="437" t="s">
        <v>103</v>
      </c>
      <c r="F5" s="453" t="s">
        <v>23</v>
      </c>
      <c r="G5" s="434" t="s">
        <v>104</v>
      </c>
      <c r="H5" s="435"/>
      <c r="I5" s="435"/>
      <c r="J5" s="435"/>
      <c r="K5" s="435"/>
      <c r="L5" s="435"/>
      <c r="M5" s="435"/>
      <c r="N5" s="435"/>
      <c r="O5" s="435"/>
      <c r="P5" s="435"/>
      <c r="Q5" s="436"/>
      <c r="R5" s="437" t="s">
        <v>28</v>
      </c>
      <c r="S5" s="437" t="s">
        <v>167</v>
      </c>
      <c r="T5" s="437" t="s">
        <v>105</v>
      </c>
      <c r="U5" s="437" t="s">
        <v>106</v>
      </c>
      <c r="V5" s="437" t="s">
        <v>108</v>
      </c>
      <c r="W5" s="437" t="s">
        <v>110</v>
      </c>
      <c r="X5" s="437" t="s">
        <v>111</v>
      </c>
      <c r="Y5" s="437" t="s">
        <v>112</v>
      </c>
      <c r="Z5" s="149"/>
    </row>
    <row r="6" spans="1:26" ht="117.6" customHeight="1">
      <c r="A6" s="452"/>
      <c r="B6" s="452"/>
      <c r="C6" s="452"/>
      <c r="D6" s="452"/>
      <c r="E6" s="452"/>
      <c r="F6" s="454"/>
      <c r="G6" s="444" t="s">
        <v>85</v>
      </c>
      <c r="H6" s="445"/>
      <c r="I6" s="127" t="s">
        <v>25</v>
      </c>
      <c r="J6" s="444" t="s">
        <v>24</v>
      </c>
      <c r="K6" s="445"/>
      <c r="L6" s="444" t="s">
        <v>134</v>
      </c>
      <c r="M6" s="445"/>
      <c r="N6" s="444" t="s">
        <v>26</v>
      </c>
      <c r="O6" s="445"/>
      <c r="P6" s="439" t="s">
        <v>115</v>
      </c>
      <c r="Q6" s="440"/>
      <c r="R6" s="438"/>
      <c r="S6" s="438"/>
      <c r="T6" s="438"/>
      <c r="U6" s="438"/>
      <c r="V6" s="438"/>
      <c r="W6" s="438"/>
      <c r="X6" s="438"/>
      <c r="Y6" s="438"/>
    </row>
    <row r="7" spans="1:26">
      <c r="A7" s="438"/>
      <c r="B7" s="438"/>
      <c r="C7" s="438"/>
      <c r="D7" s="438"/>
      <c r="E7" s="438"/>
      <c r="F7" s="455"/>
      <c r="G7" s="125" t="s">
        <v>3</v>
      </c>
      <c r="H7" s="125" t="s">
        <v>29</v>
      </c>
      <c r="I7" s="125" t="s">
        <v>29</v>
      </c>
      <c r="J7" s="125" t="s">
        <v>3</v>
      </c>
      <c r="K7" s="125" t="s">
        <v>29</v>
      </c>
      <c r="L7" s="125" t="s">
        <v>3</v>
      </c>
      <c r="M7" s="125" t="s">
        <v>29</v>
      </c>
      <c r="N7" s="125" t="s">
        <v>3</v>
      </c>
      <c r="O7" s="125" t="s">
        <v>29</v>
      </c>
      <c r="P7" s="125" t="s">
        <v>3</v>
      </c>
      <c r="Q7" s="125" t="s">
        <v>29</v>
      </c>
      <c r="R7" s="125" t="s">
        <v>29</v>
      </c>
      <c r="S7" s="125" t="s">
        <v>29</v>
      </c>
      <c r="T7" s="125" t="s">
        <v>29</v>
      </c>
      <c r="U7" s="125" t="s">
        <v>29</v>
      </c>
      <c r="V7" s="125" t="s">
        <v>29</v>
      </c>
      <c r="W7" s="125" t="s">
        <v>29</v>
      </c>
      <c r="X7" s="125" t="s">
        <v>29</v>
      </c>
      <c r="Y7" s="125" t="s">
        <v>29</v>
      </c>
    </row>
    <row r="8" spans="1:26">
      <c r="A8" s="125">
        <v>1</v>
      </c>
      <c r="B8" s="125">
        <v>2</v>
      </c>
      <c r="C8" s="125">
        <v>3</v>
      </c>
      <c r="D8" s="125">
        <v>4</v>
      </c>
      <c r="E8" s="125">
        <v>5</v>
      </c>
      <c r="F8" s="125">
        <v>6</v>
      </c>
      <c r="G8" s="125">
        <v>7</v>
      </c>
      <c r="H8" s="125">
        <v>8</v>
      </c>
      <c r="I8" s="125">
        <v>9</v>
      </c>
      <c r="J8" s="125">
        <v>10</v>
      </c>
      <c r="K8" s="125">
        <v>11</v>
      </c>
      <c r="L8" s="125">
        <v>12</v>
      </c>
      <c r="M8" s="125">
        <v>13</v>
      </c>
      <c r="N8" s="125">
        <v>9</v>
      </c>
      <c r="O8" s="125">
        <v>10</v>
      </c>
      <c r="P8" s="125">
        <v>11</v>
      </c>
      <c r="Q8" s="125">
        <v>12</v>
      </c>
      <c r="R8" s="125">
        <v>13</v>
      </c>
      <c r="S8" s="125">
        <v>14</v>
      </c>
      <c r="T8" s="125">
        <v>15</v>
      </c>
      <c r="U8" s="125">
        <v>16</v>
      </c>
      <c r="V8" s="125">
        <v>17</v>
      </c>
      <c r="W8" s="125">
        <v>18</v>
      </c>
      <c r="X8" s="125">
        <v>19</v>
      </c>
      <c r="Y8" s="125">
        <v>20</v>
      </c>
    </row>
    <row r="9" spans="1:26">
      <c r="A9" s="434" t="s">
        <v>354</v>
      </c>
      <c r="B9" s="435"/>
      <c r="C9" s="435"/>
      <c r="D9" s="435"/>
      <c r="E9" s="435"/>
      <c r="F9" s="435"/>
      <c r="G9" s="435"/>
      <c r="H9" s="435"/>
      <c r="I9" s="435"/>
      <c r="J9" s="435"/>
      <c r="K9" s="435"/>
      <c r="L9" s="435"/>
      <c r="M9" s="435"/>
      <c r="N9" s="435"/>
      <c r="O9" s="435"/>
      <c r="P9" s="435"/>
      <c r="Q9" s="435"/>
      <c r="R9" s="435"/>
      <c r="S9" s="435"/>
      <c r="T9" s="435"/>
      <c r="U9" s="435"/>
      <c r="V9" s="435"/>
      <c r="W9" s="435"/>
      <c r="X9" s="435"/>
      <c r="Y9" s="436"/>
    </row>
    <row r="10" spans="1:26">
      <c r="A10" s="92">
        <v>1</v>
      </c>
      <c r="B10" s="75" t="s">
        <v>41</v>
      </c>
      <c r="C10" s="92">
        <v>1</v>
      </c>
      <c r="D10" s="171">
        <v>7040</v>
      </c>
      <c r="E10" s="87">
        <v>1.1399999999999999</v>
      </c>
      <c r="F10" s="171">
        <f>+D10*E10</f>
        <v>8025.5999999999995</v>
      </c>
      <c r="G10" s="93"/>
      <c r="H10" s="171"/>
      <c r="I10" s="87"/>
      <c r="J10" s="87"/>
      <c r="K10" s="87"/>
      <c r="L10" s="93"/>
      <c r="M10" s="87"/>
      <c r="N10" s="87"/>
      <c r="O10" s="171">
        <f>16700+4900</f>
        <v>21600</v>
      </c>
      <c r="P10" s="93"/>
      <c r="Q10" s="170"/>
      <c r="R10" s="171">
        <f t="shared" ref="R10:R25" si="0">+F10+H10+M10+O10+Q10</f>
        <v>29625.599999999999</v>
      </c>
      <c r="S10" s="171">
        <f t="shared" ref="S10:S25" si="1">R10*C10</f>
        <v>29625.599999999999</v>
      </c>
      <c r="T10" s="85">
        <f t="shared" ref="T10:T25" si="2">(((S10+(S10*14.0135/12/12)))*3/3/29.6)*30</f>
        <v>32947.950067567566</v>
      </c>
      <c r="U10" s="171">
        <f t="shared" ref="U10:U25" si="3">S10*2</f>
        <v>59251.199999999997</v>
      </c>
      <c r="V10" s="85">
        <f t="shared" ref="V10:V25" si="4">(S10*14.0135)/12</f>
        <v>34596.5288</v>
      </c>
      <c r="W10" s="171">
        <f>(S10*7)+T10+U10+V10</f>
        <v>334174.87886756752</v>
      </c>
      <c r="X10" s="171">
        <f>((S10*7)+T10+V10)*0.1725</f>
        <v>47424.3346046554</v>
      </c>
      <c r="Y10" s="171">
        <f t="shared" ref="Y10:Y25" si="5">W10+X10</f>
        <v>381599.21347222291</v>
      </c>
    </row>
    <row r="11" spans="1:26">
      <c r="A11" s="92">
        <v>2</v>
      </c>
      <c r="B11" s="75" t="s">
        <v>135</v>
      </c>
      <c r="C11" s="92">
        <v>1</v>
      </c>
      <c r="D11" s="171">
        <v>7040</v>
      </c>
      <c r="E11" s="87">
        <v>1.1399999999999999</v>
      </c>
      <c r="F11" s="171">
        <f t="shared" ref="F11:F25" si="6">+D11*E11</f>
        <v>8025.5999999999995</v>
      </c>
      <c r="G11" s="93"/>
      <c r="H11" s="171"/>
      <c r="I11" s="87"/>
      <c r="J11" s="87"/>
      <c r="K11" s="87"/>
      <c r="L11" s="93"/>
      <c r="M11" s="87"/>
      <c r="N11" s="87"/>
      <c r="O11" s="171">
        <f>13400+4200</f>
        <v>17600</v>
      </c>
      <c r="P11" s="93"/>
      <c r="Q11" s="170"/>
      <c r="R11" s="171">
        <f t="shared" si="0"/>
        <v>25625.599999999999</v>
      </c>
      <c r="S11" s="171">
        <f t="shared" si="1"/>
        <v>25625.599999999999</v>
      </c>
      <c r="T11" s="85">
        <f t="shared" si="2"/>
        <v>28499.371801801797</v>
      </c>
      <c r="U11" s="171">
        <f t="shared" si="3"/>
        <v>51251.199999999997</v>
      </c>
      <c r="V11" s="85">
        <f t="shared" si="4"/>
        <v>29925.362133333332</v>
      </c>
      <c r="W11" s="171">
        <f t="shared" ref="W11:W25" si="7">(S11*7)+T11+U11+V11</f>
        <v>289055.13393513515</v>
      </c>
      <c r="X11" s="171">
        <f t="shared" ref="X11:X25" si="8">((S11*7)+T11+V11)*0.1725</f>
        <v>41021.178603810811</v>
      </c>
      <c r="Y11" s="171">
        <f t="shared" si="5"/>
        <v>330076.31253894593</v>
      </c>
    </row>
    <row r="12" spans="1:26">
      <c r="A12" s="92">
        <v>3</v>
      </c>
      <c r="B12" s="75" t="s">
        <v>136</v>
      </c>
      <c r="C12" s="92">
        <v>1</v>
      </c>
      <c r="D12" s="171">
        <v>7040</v>
      </c>
      <c r="E12" s="87">
        <v>1.6</v>
      </c>
      <c r="F12" s="171">
        <f t="shared" si="6"/>
        <v>11264</v>
      </c>
      <c r="G12" s="93"/>
      <c r="H12" s="171"/>
      <c r="I12" s="87"/>
      <c r="J12" s="87"/>
      <c r="K12" s="87"/>
      <c r="L12" s="93"/>
      <c r="M12" s="87"/>
      <c r="N12" s="87"/>
      <c r="O12" s="171">
        <f>11600+4500</f>
        <v>16100</v>
      </c>
      <c r="P12" s="93"/>
      <c r="Q12" s="170"/>
      <c r="R12" s="171">
        <f t="shared" si="0"/>
        <v>27364</v>
      </c>
      <c r="S12" s="171">
        <f t="shared" si="1"/>
        <v>27364</v>
      </c>
      <c r="T12" s="85">
        <f t="shared" si="2"/>
        <v>30432.723916103605</v>
      </c>
      <c r="U12" s="171">
        <f t="shared" si="3"/>
        <v>54728</v>
      </c>
      <c r="V12" s="85">
        <f t="shared" si="4"/>
        <v>31955.451166666666</v>
      </c>
      <c r="W12" s="171">
        <f t="shared" si="7"/>
        <v>308664.17508277029</v>
      </c>
      <c r="X12" s="171">
        <f t="shared" si="8"/>
        <v>43803.990201777866</v>
      </c>
      <c r="Y12" s="171">
        <f t="shared" si="5"/>
        <v>352468.16528454819</v>
      </c>
    </row>
    <row r="13" spans="1:26">
      <c r="A13" s="92">
        <v>4</v>
      </c>
      <c r="B13" s="75" t="s">
        <v>42</v>
      </c>
      <c r="C13" s="92">
        <v>1</v>
      </c>
      <c r="D13" s="171">
        <v>7040</v>
      </c>
      <c r="E13" s="87">
        <v>1.6</v>
      </c>
      <c r="F13" s="171">
        <f t="shared" si="6"/>
        <v>11264</v>
      </c>
      <c r="G13" s="93"/>
      <c r="H13" s="171"/>
      <c r="I13" s="87"/>
      <c r="J13" s="87"/>
      <c r="K13" s="87"/>
      <c r="L13" s="93"/>
      <c r="M13" s="87"/>
      <c r="N13" s="87"/>
      <c r="O13" s="171">
        <f t="shared" ref="O13:O19" si="9">11600+4500</f>
        <v>16100</v>
      </c>
      <c r="P13" s="93"/>
      <c r="Q13" s="170"/>
      <c r="R13" s="171">
        <f t="shared" si="0"/>
        <v>27364</v>
      </c>
      <c r="S13" s="171">
        <f t="shared" si="1"/>
        <v>27364</v>
      </c>
      <c r="T13" s="85">
        <f t="shared" si="2"/>
        <v>30432.723916103605</v>
      </c>
      <c r="U13" s="171">
        <f t="shared" si="3"/>
        <v>54728</v>
      </c>
      <c r="V13" s="85">
        <f t="shared" si="4"/>
        <v>31955.451166666666</v>
      </c>
      <c r="W13" s="171">
        <f t="shared" si="7"/>
        <v>308664.17508277029</v>
      </c>
      <c r="X13" s="171">
        <f t="shared" si="8"/>
        <v>43803.990201777866</v>
      </c>
      <c r="Y13" s="171">
        <f t="shared" si="5"/>
        <v>352468.16528454819</v>
      </c>
    </row>
    <row r="14" spans="1:26">
      <c r="A14" s="92">
        <v>5</v>
      </c>
      <c r="B14" s="75" t="s">
        <v>43</v>
      </c>
      <c r="C14" s="92">
        <v>4</v>
      </c>
      <c r="D14" s="171">
        <v>7040</v>
      </c>
      <c r="E14" s="87">
        <v>1.6</v>
      </c>
      <c r="F14" s="171">
        <f t="shared" si="6"/>
        <v>11264</v>
      </c>
      <c r="G14" s="93"/>
      <c r="H14" s="171"/>
      <c r="I14" s="87"/>
      <c r="J14" s="87"/>
      <c r="K14" s="87"/>
      <c r="L14" s="93"/>
      <c r="M14" s="87"/>
      <c r="N14" s="87"/>
      <c r="O14" s="171">
        <f t="shared" si="9"/>
        <v>16100</v>
      </c>
      <c r="P14" s="93"/>
      <c r="Q14" s="170"/>
      <c r="R14" s="171">
        <f t="shared" si="0"/>
        <v>27364</v>
      </c>
      <c r="S14" s="171">
        <f t="shared" si="1"/>
        <v>109456</v>
      </c>
      <c r="T14" s="85">
        <f t="shared" si="2"/>
        <v>121730.89566441442</v>
      </c>
      <c r="U14" s="171">
        <f t="shared" si="3"/>
        <v>218912</v>
      </c>
      <c r="V14" s="85">
        <f t="shared" si="4"/>
        <v>127821.80466666666</v>
      </c>
      <c r="W14" s="171">
        <f t="shared" si="7"/>
        <v>1234656.7003310812</v>
      </c>
      <c r="X14" s="171">
        <f t="shared" si="8"/>
        <v>175215.96080711146</v>
      </c>
      <c r="Y14" s="171">
        <f t="shared" si="5"/>
        <v>1409872.6611381928</v>
      </c>
    </row>
    <row r="15" spans="1:26">
      <c r="A15" s="92">
        <v>6</v>
      </c>
      <c r="B15" s="75" t="s">
        <v>44</v>
      </c>
      <c r="C15" s="92">
        <v>2</v>
      </c>
      <c r="D15" s="171">
        <v>7040</v>
      </c>
      <c r="E15" s="87">
        <v>1.6</v>
      </c>
      <c r="F15" s="171">
        <f t="shared" si="6"/>
        <v>11264</v>
      </c>
      <c r="G15" s="93"/>
      <c r="H15" s="171"/>
      <c r="I15" s="87"/>
      <c r="J15" s="87"/>
      <c r="K15" s="87"/>
      <c r="L15" s="93"/>
      <c r="M15" s="87"/>
      <c r="N15" s="87"/>
      <c r="O15" s="171">
        <f t="shared" si="9"/>
        <v>16100</v>
      </c>
      <c r="P15" s="93"/>
      <c r="Q15" s="170"/>
      <c r="R15" s="171">
        <f t="shared" si="0"/>
        <v>27364</v>
      </c>
      <c r="S15" s="171">
        <f t="shared" si="1"/>
        <v>54728</v>
      </c>
      <c r="T15" s="85">
        <f t="shared" si="2"/>
        <v>60865.44783220721</v>
      </c>
      <c r="U15" s="171">
        <f t="shared" si="3"/>
        <v>109456</v>
      </c>
      <c r="V15" s="85">
        <f t="shared" si="4"/>
        <v>63910.902333333332</v>
      </c>
      <c r="W15" s="171">
        <f t="shared" si="7"/>
        <v>617328.35016554059</v>
      </c>
      <c r="X15" s="171">
        <f t="shared" si="8"/>
        <v>87607.980403555732</v>
      </c>
      <c r="Y15" s="171">
        <f t="shared" si="5"/>
        <v>704936.33056909638</v>
      </c>
    </row>
    <row r="16" spans="1:26">
      <c r="A16" s="92">
        <v>7</v>
      </c>
      <c r="B16" s="75" t="s">
        <v>137</v>
      </c>
      <c r="C16" s="92">
        <v>1</v>
      </c>
      <c r="D16" s="171">
        <v>7040</v>
      </c>
      <c r="E16" s="87">
        <v>1.6</v>
      </c>
      <c r="F16" s="171">
        <f t="shared" si="6"/>
        <v>11264</v>
      </c>
      <c r="G16" s="93"/>
      <c r="H16" s="171"/>
      <c r="I16" s="87"/>
      <c r="J16" s="87"/>
      <c r="K16" s="87"/>
      <c r="L16" s="93"/>
      <c r="M16" s="87"/>
      <c r="N16" s="87"/>
      <c r="O16" s="171">
        <f t="shared" si="9"/>
        <v>16100</v>
      </c>
      <c r="P16" s="93"/>
      <c r="Q16" s="170"/>
      <c r="R16" s="171">
        <f t="shared" si="0"/>
        <v>27364</v>
      </c>
      <c r="S16" s="171">
        <f t="shared" si="1"/>
        <v>27364</v>
      </c>
      <c r="T16" s="85">
        <f t="shared" si="2"/>
        <v>30432.723916103605</v>
      </c>
      <c r="U16" s="171">
        <f t="shared" si="3"/>
        <v>54728</v>
      </c>
      <c r="V16" s="85">
        <f t="shared" si="4"/>
        <v>31955.451166666666</v>
      </c>
      <c r="W16" s="171">
        <f t="shared" si="7"/>
        <v>308664.17508277029</v>
      </c>
      <c r="X16" s="171">
        <f t="shared" si="8"/>
        <v>43803.990201777866</v>
      </c>
      <c r="Y16" s="171">
        <f t="shared" si="5"/>
        <v>352468.16528454819</v>
      </c>
    </row>
    <row r="17" spans="1:25">
      <c r="A17" s="92">
        <v>8</v>
      </c>
      <c r="B17" s="75" t="s">
        <v>45</v>
      </c>
      <c r="C17" s="92">
        <v>2</v>
      </c>
      <c r="D17" s="171">
        <v>7040</v>
      </c>
      <c r="E17" s="87">
        <v>1.6</v>
      </c>
      <c r="F17" s="171">
        <f t="shared" si="6"/>
        <v>11264</v>
      </c>
      <c r="G17" s="93"/>
      <c r="H17" s="171"/>
      <c r="I17" s="87"/>
      <c r="J17" s="87"/>
      <c r="K17" s="87"/>
      <c r="L17" s="93"/>
      <c r="M17" s="87"/>
      <c r="N17" s="87"/>
      <c r="O17" s="171">
        <f t="shared" si="9"/>
        <v>16100</v>
      </c>
      <c r="P17" s="93"/>
      <c r="Q17" s="170"/>
      <c r="R17" s="171">
        <f t="shared" si="0"/>
        <v>27364</v>
      </c>
      <c r="S17" s="171">
        <f t="shared" si="1"/>
        <v>54728</v>
      </c>
      <c r="T17" s="85">
        <f t="shared" si="2"/>
        <v>60865.44783220721</v>
      </c>
      <c r="U17" s="171">
        <f t="shared" si="3"/>
        <v>109456</v>
      </c>
      <c r="V17" s="85">
        <f t="shared" si="4"/>
        <v>63910.902333333332</v>
      </c>
      <c r="W17" s="171">
        <f t="shared" si="7"/>
        <v>617328.35016554059</v>
      </c>
      <c r="X17" s="171">
        <f t="shared" si="8"/>
        <v>87607.980403555732</v>
      </c>
      <c r="Y17" s="171">
        <f t="shared" si="5"/>
        <v>704936.33056909638</v>
      </c>
    </row>
    <row r="18" spans="1:25">
      <c r="A18" s="92">
        <v>9</v>
      </c>
      <c r="B18" s="75" t="s">
        <v>46</v>
      </c>
      <c r="C18" s="92">
        <v>1</v>
      </c>
      <c r="D18" s="171">
        <v>7040</v>
      </c>
      <c r="E18" s="87">
        <v>1.6</v>
      </c>
      <c r="F18" s="171">
        <f t="shared" si="6"/>
        <v>11264</v>
      </c>
      <c r="G18" s="93"/>
      <c r="H18" s="171"/>
      <c r="I18" s="87"/>
      <c r="J18" s="87"/>
      <c r="K18" s="87"/>
      <c r="L18" s="93"/>
      <c r="M18" s="87"/>
      <c r="N18" s="87"/>
      <c r="O18" s="171">
        <f t="shared" si="9"/>
        <v>16100</v>
      </c>
      <c r="P18" s="93"/>
      <c r="Q18" s="170"/>
      <c r="R18" s="171">
        <f t="shared" si="0"/>
        <v>27364</v>
      </c>
      <c r="S18" s="171">
        <f t="shared" si="1"/>
        <v>27364</v>
      </c>
      <c r="T18" s="85">
        <f t="shared" si="2"/>
        <v>30432.723916103605</v>
      </c>
      <c r="U18" s="171">
        <f t="shared" si="3"/>
        <v>54728</v>
      </c>
      <c r="V18" s="85">
        <f t="shared" si="4"/>
        <v>31955.451166666666</v>
      </c>
      <c r="W18" s="171">
        <f t="shared" si="7"/>
        <v>308664.17508277029</v>
      </c>
      <c r="X18" s="171">
        <f t="shared" si="8"/>
        <v>43803.990201777866</v>
      </c>
      <c r="Y18" s="171">
        <f t="shared" si="5"/>
        <v>352468.16528454819</v>
      </c>
    </row>
    <row r="19" spans="1:25">
      <c r="A19" s="92">
        <v>10</v>
      </c>
      <c r="B19" s="75" t="s">
        <v>138</v>
      </c>
      <c r="C19" s="92">
        <v>1</v>
      </c>
      <c r="D19" s="171">
        <v>7040</v>
      </c>
      <c r="E19" s="87">
        <v>1.6</v>
      </c>
      <c r="F19" s="171">
        <f t="shared" si="6"/>
        <v>11264</v>
      </c>
      <c r="G19" s="93"/>
      <c r="H19" s="171"/>
      <c r="I19" s="87"/>
      <c r="J19" s="87"/>
      <c r="K19" s="87"/>
      <c r="L19" s="93"/>
      <c r="M19" s="87"/>
      <c r="N19" s="87"/>
      <c r="O19" s="171">
        <f t="shared" si="9"/>
        <v>16100</v>
      </c>
      <c r="P19" s="93"/>
      <c r="Q19" s="170"/>
      <c r="R19" s="171">
        <f t="shared" si="0"/>
        <v>27364</v>
      </c>
      <c r="S19" s="171">
        <f t="shared" si="1"/>
        <v>27364</v>
      </c>
      <c r="T19" s="85">
        <f t="shared" si="2"/>
        <v>30432.723916103605</v>
      </c>
      <c r="U19" s="171">
        <f t="shared" si="3"/>
        <v>54728</v>
      </c>
      <c r="V19" s="85">
        <f t="shared" si="4"/>
        <v>31955.451166666666</v>
      </c>
      <c r="W19" s="171">
        <f t="shared" si="7"/>
        <v>308664.17508277029</v>
      </c>
      <c r="X19" s="171">
        <f t="shared" si="8"/>
        <v>43803.990201777866</v>
      </c>
      <c r="Y19" s="171">
        <f t="shared" si="5"/>
        <v>352468.16528454819</v>
      </c>
    </row>
    <row r="20" spans="1:25">
      <c r="A20" s="92">
        <v>11</v>
      </c>
      <c r="B20" s="75" t="s">
        <v>171</v>
      </c>
      <c r="C20" s="92">
        <v>4</v>
      </c>
      <c r="D20" s="171">
        <v>7040</v>
      </c>
      <c r="E20" s="95">
        <v>1.6</v>
      </c>
      <c r="F20" s="171">
        <f t="shared" si="6"/>
        <v>11264</v>
      </c>
      <c r="G20" s="93"/>
      <c r="H20" s="171"/>
      <c r="I20" s="92"/>
      <c r="J20" s="92"/>
      <c r="K20" s="92"/>
      <c r="L20" s="93"/>
      <c r="M20" s="94"/>
      <c r="N20" s="92"/>
      <c r="O20" s="171">
        <f>11600+4500</f>
        <v>16100</v>
      </c>
      <c r="P20" s="93"/>
      <c r="Q20" s="170"/>
      <c r="R20" s="171">
        <f t="shared" si="0"/>
        <v>27364</v>
      </c>
      <c r="S20" s="171">
        <f t="shared" si="1"/>
        <v>109456</v>
      </c>
      <c r="T20" s="85">
        <f t="shared" si="2"/>
        <v>121730.89566441442</v>
      </c>
      <c r="U20" s="171">
        <f t="shared" si="3"/>
        <v>218912</v>
      </c>
      <c r="V20" s="85">
        <f t="shared" si="4"/>
        <v>127821.80466666666</v>
      </c>
      <c r="W20" s="171">
        <f t="shared" si="7"/>
        <v>1234656.7003310812</v>
      </c>
      <c r="X20" s="171">
        <f t="shared" si="8"/>
        <v>175215.96080711146</v>
      </c>
      <c r="Y20" s="171">
        <f t="shared" si="5"/>
        <v>1409872.6611381928</v>
      </c>
    </row>
    <row r="21" spans="1:25">
      <c r="A21" s="92">
        <v>12</v>
      </c>
      <c r="B21" s="75" t="s">
        <v>45</v>
      </c>
      <c r="C21" s="92">
        <v>2</v>
      </c>
      <c r="D21" s="171">
        <v>7040</v>
      </c>
      <c r="E21" s="95">
        <v>1.6</v>
      </c>
      <c r="F21" s="171">
        <f t="shared" si="6"/>
        <v>11264</v>
      </c>
      <c r="G21" s="93"/>
      <c r="H21" s="171"/>
      <c r="I21" s="92"/>
      <c r="J21" s="92"/>
      <c r="K21" s="92"/>
      <c r="L21" s="93"/>
      <c r="M21" s="94"/>
      <c r="N21" s="92"/>
      <c r="O21" s="171">
        <f>11600+4500</f>
        <v>16100</v>
      </c>
      <c r="P21" s="93"/>
      <c r="Q21" s="170"/>
      <c r="R21" s="171">
        <f t="shared" si="0"/>
        <v>27364</v>
      </c>
      <c r="S21" s="171">
        <f t="shared" si="1"/>
        <v>54728</v>
      </c>
      <c r="T21" s="85">
        <f t="shared" si="2"/>
        <v>60865.44783220721</v>
      </c>
      <c r="U21" s="171">
        <f t="shared" si="3"/>
        <v>109456</v>
      </c>
      <c r="V21" s="85">
        <f t="shared" si="4"/>
        <v>63910.902333333332</v>
      </c>
      <c r="W21" s="171">
        <f t="shared" si="7"/>
        <v>617328.35016554059</v>
      </c>
      <c r="X21" s="171">
        <f t="shared" si="8"/>
        <v>87607.980403555732</v>
      </c>
      <c r="Y21" s="171">
        <f t="shared" si="5"/>
        <v>704936.33056909638</v>
      </c>
    </row>
    <row r="22" spans="1:25">
      <c r="A22" s="92">
        <v>13</v>
      </c>
      <c r="B22" s="75" t="s">
        <v>139</v>
      </c>
      <c r="C22" s="92">
        <v>19</v>
      </c>
      <c r="D22" s="171">
        <v>7040</v>
      </c>
      <c r="E22" s="95">
        <v>1</v>
      </c>
      <c r="F22" s="171">
        <f t="shared" si="6"/>
        <v>7040</v>
      </c>
      <c r="G22" s="93"/>
      <c r="H22" s="171"/>
      <c r="I22" s="87"/>
      <c r="J22" s="87"/>
      <c r="K22" s="87"/>
      <c r="L22" s="93"/>
      <c r="M22" s="87"/>
      <c r="N22" s="87"/>
      <c r="O22" s="171">
        <v>24200</v>
      </c>
      <c r="P22" s="93"/>
      <c r="Q22" s="170"/>
      <c r="R22" s="171">
        <f t="shared" si="0"/>
        <v>31240</v>
      </c>
      <c r="S22" s="171">
        <f>R22*C22</f>
        <v>593560</v>
      </c>
      <c r="T22" s="85">
        <f t="shared" si="2"/>
        <v>660124.52885698201</v>
      </c>
      <c r="U22" s="171">
        <f t="shared" si="3"/>
        <v>1187120</v>
      </c>
      <c r="V22" s="85">
        <f t="shared" si="4"/>
        <v>693154.42166666675</v>
      </c>
      <c r="W22" s="171">
        <f t="shared" si="7"/>
        <v>6695318.9505236484</v>
      </c>
      <c r="X22" s="171">
        <f t="shared" si="8"/>
        <v>950164.31896532932</v>
      </c>
      <c r="Y22" s="171">
        <f t="shared" si="5"/>
        <v>7645483.2694889773</v>
      </c>
    </row>
    <row r="23" spans="1:25">
      <c r="A23" s="92">
        <v>14</v>
      </c>
      <c r="B23" s="174" t="s">
        <v>47</v>
      </c>
      <c r="C23" s="96">
        <v>3</v>
      </c>
      <c r="D23" s="171">
        <v>7040</v>
      </c>
      <c r="E23" s="95">
        <v>1</v>
      </c>
      <c r="F23" s="171">
        <f t="shared" si="6"/>
        <v>7040</v>
      </c>
      <c r="G23" s="93"/>
      <c r="H23" s="171"/>
      <c r="I23" s="96"/>
      <c r="J23" s="96"/>
      <c r="K23" s="96"/>
      <c r="L23" s="93"/>
      <c r="M23" s="94"/>
      <c r="N23" s="96"/>
      <c r="O23" s="171">
        <f>7300</f>
        <v>7300</v>
      </c>
      <c r="P23" s="93">
        <v>0.5</v>
      </c>
      <c r="Q23" s="170">
        <f>+P23*F23</f>
        <v>3520</v>
      </c>
      <c r="R23" s="171">
        <f t="shared" si="0"/>
        <v>17860</v>
      </c>
      <c r="S23" s="171">
        <f t="shared" si="1"/>
        <v>53580</v>
      </c>
      <c r="T23" s="85">
        <f t="shared" si="2"/>
        <v>59588.705869932426</v>
      </c>
      <c r="U23" s="171">
        <f t="shared" si="3"/>
        <v>107160</v>
      </c>
      <c r="V23" s="85">
        <f t="shared" si="4"/>
        <v>62570.277500000004</v>
      </c>
      <c r="W23" s="171">
        <f t="shared" si="7"/>
        <v>604378.98336993239</v>
      </c>
      <c r="X23" s="171">
        <f t="shared" si="8"/>
        <v>85770.274631313339</v>
      </c>
      <c r="Y23" s="171">
        <f t="shared" si="5"/>
        <v>690149.25800124579</v>
      </c>
    </row>
    <row r="24" spans="1:25">
      <c r="A24" s="92">
        <v>15</v>
      </c>
      <c r="B24" s="75" t="s">
        <v>48</v>
      </c>
      <c r="C24" s="92">
        <v>2</v>
      </c>
      <c r="D24" s="171">
        <v>7040</v>
      </c>
      <c r="E24" s="95">
        <v>1</v>
      </c>
      <c r="F24" s="171">
        <f t="shared" si="6"/>
        <v>7040</v>
      </c>
      <c r="G24" s="93"/>
      <c r="H24" s="171"/>
      <c r="I24" s="92"/>
      <c r="J24" s="92"/>
      <c r="K24" s="92"/>
      <c r="L24" s="93"/>
      <c r="M24" s="94"/>
      <c r="N24" s="92"/>
      <c r="O24" s="171">
        <f>7300</f>
        <v>7300</v>
      </c>
      <c r="P24" s="93">
        <v>0.5</v>
      </c>
      <c r="Q24" s="170">
        <f>+P24*F24</f>
        <v>3520</v>
      </c>
      <c r="R24" s="171">
        <f t="shared" si="0"/>
        <v>17860</v>
      </c>
      <c r="S24" s="171">
        <f t="shared" si="1"/>
        <v>35720</v>
      </c>
      <c r="T24" s="85">
        <f t="shared" si="2"/>
        <v>39725.803913288291</v>
      </c>
      <c r="U24" s="171">
        <f t="shared" si="3"/>
        <v>71440</v>
      </c>
      <c r="V24" s="85">
        <f t="shared" si="4"/>
        <v>41713.518333333333</v>
      </c>
      <c r="W24" s="171">
        <f t="shared" si="7"/>
        <v>402919.3222466216</v>
      </c>
      <c r="X24" s="171">
        <f t="shared" si="8"/>
        <v>57180.183087542224</v>
      </c>
      <c r="Y24" s="171">
        <f t="shared" si="5"/>
        <v>460099.50533416384</v>
      </c>
    </row>
    <row r="25" spans="1:25">
      <c r="A25" s="92">
        <v>16</v>
      </c>
      <c r="B25" s="75" t="s">
        <v>66</v>
      </c>
      <c r="C25" s="92">
        <v>1</v>
      </c>
      <c r="D25" s="171">
        <v>7040</v>
      </c>
      <c r="E25" s="95">
        <v>1</v>
      </c>
      <c r="F25" s="171">
        <f t="shared" si="6"/>
        <v>7040</v>
      </c>
      <c r="G25" s="93"/>
      <c r="H25" s="171"/>
      <c r="I25" s="92"/>
      <c r="J25" s="92"/>
      <c r="K25" s="92"/>
      <c r="L25" s="93"/>
      <c r="M25" s="94"/>
      <c r="N25" s="92"/>
      <c r="O25" s="171">
        <f>3700+2500</f>
        <v>6200</v>
      </c>
      <c r="P25" s="93">
        <v>0.25</v>
      </c>
      <c r="Q25" s="170">
        <f>+P25*F25</f>
        <v>1760</v>
      </c>
      <c r="R25" s="171">
        <f t="shared" si="0"/>
        <v>15000</v>
      </c>
      <c r="S25" s="171">
        <f t="shared" si="1"/>
        <v>15000</v>
      </c>
      <c r="T25" s="85">
        <f t="shared" si="2"/>
        <v>16682.16849662162</v>
      </c>
      <c r="U25" s="171">
        <f t="shared" si="3"/>
        <v>30000</v>
      </c>
      <c r="V25" s="85">
        <f t="shared" si="4"/>
        <v>17516.875</v>
      </c>
      <c r="W25" s="171">
        <f t="shared" si="7"/>
        <v>169199.04349662163</v>
      </c>
      <c r="X25" s="171">
        <f t="shared" si="8"/>
        <v>24011.835003167227</v>
      </c>
      <c r="Y25" s="171">
        <f t="shared" si="5"/>
        <v>193210.87849978884</v>
      </c>
    </row>
    <row r="26" spans="1:25">
      <c r="A26" s="125"/>
      <c r="B26" s="125" t="s">
        <v>31</v>
      </c>
      <c r="C26" s="82">
        <f>SUM(C10:C25)</f>
        <v>46</v>
      </c>
      <c r="D26" s="132">
        <f>SUM(D10:D25)</f>
        <v>112640</v>
      </c>
      <c r="E26" s="82"/>
      <c r="F26" s="132">
        <f t="shared" ref="F26:Y26" si="10">SUM(F10:F25)</f>
        <v>156851.20000000001</v>
      </c>
      <c r="G26" s="82">
        <f t="shared" si="10"/>
        <v>0</v>
      </c>
      <c r="H26" s="132">
        <f t="shared" si="10"/>
        <v>0</v>
      </c>
      <c r="I26" s="82">
        <f t="shared" si="10"/>
        <v>0</v>
      </c>
      <c r="J26" s="82">
        <f t="shared" si="10"/>
        <v>0</v>
      </c>
      <c r="K26" s="82">
        <f t="shared" si="10"/>
        <v>0</v>
      </c>
      <c r="L26" s="82">
        <f t="shared" si="10"/>
        <v>0</v>
      </c>
      <c r="M26" s="82">
        <f t="shared" si="10"/>
        <v>0</v>
      </c>
      <c r="N26" s="82">
        <f t="shared" si="10"/>
        <v>0</v>
      </c>
      <c r="O26" s="132">
        <f t="shared" si="10"/>
        <v>245200</v>
      </c>
      <c r="P26" s="82"/>
      <c r="Q26" s="132">
        <f t="shared" si="10"/>
        <v>8800</v>
      </c>
      <c r="R26" s="132">
        <f t="shared" si="10"/>
        <v>410851.2</v>
      </c>
      <c r="S26" s="132">
        <f t="shared" si="10"/>
        <v>1273027.2</v>
      </c>
      <c r="T26" s="132">
        <f t="shared" si="10"/>
        <v>1415790.2834121622</v>
      </c>
      <c r="U26" s="132">
        <f t="shared" si="10"/>
        <v>2546054.4</v>
      </c>
      <c r="V26" s="132">
        <f t="shared" si="10"/>
        <v>1486630.5556000001</v>
      </c>
      <c r="W26" s="132">
        <f t="shared" si="10"/>
        <v>14359665.639012162</v>
      </c>
      <c r="X26" s="132">
        <f t="shared" si="10"/>
        <v>2037847.9387295975</v>
      </c>
      <c r="Y26" s="132">
        <f t="shared" si="10"/>
        <v>16397513.577741759</v>
      </c>
    </row>
    <row r="27" spans="1:25">
      <c r="A27" s="434" t="s">
        <v>355</v>
      </c>
      <c r="B27" s="435"/>
      <c r="C27" s="435"/>
      <c r="D27" s="435"/>
      <c r="E27" s="435"/>
      <c r="F27" s="435"/>
      <c r="G27" s="435"/>
      <c r="H27" s="435"/>
      <c r="I27" s="435"/>
      <c r="J27" s="435"/>
      <c r="K27" s="435"/>
      <c r="L27" s="435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6"/>
    </row>
    <row r="28" spans="1:25">
      <c r="A28" s="92">
        <v>1</v>
      </c>
      <c r="B28" s="75" t="s">
        <v>41</v>
      </c>
      <c r="C28" s="92">
        <v>1</v>
      </c>
      <c r="D28" s="171">
        <v>7040</v>
      </c>
      <c r="E28" s="87">
        <v>1.4</v>
      </c>
      <c r="F28" s="171">
        <f>+D28*E28</f>
        <v>9856</v>
      </c>
      <c r="G28" s="93"/>
      <c r="H28" s="171"/>
      <c r="I28" s="87"/>
      <c r="J28" s="87"/>
      <c r="K28" s="87"/>
      <c r="L28" s="93"/>
      <c r="M28" s="87"/>
      <c r="N28" s="87"/>
      <c r="O28" s="171">
        <f>16700+4900</f>
        <v>21600</v>
      </c>
      <c r="P28" s="93"/>
      <c r="Q28" s="170"/>
      <c r="R28" s="171">
        <f t="shared" ref="R28:R43" si="11">+F28+H28+M28+O28+Q28</f>
        <v>31456</v>
      </c>
      <c r="S28" s="171">
        <f t="shared" ref="S28:S39" si="12">R28*C28</f>
        <v>31456</v>
      </c>
      <c r="T28" s="85">
        <f t="shared" ref="T28:T43" si="13">(((S28+(S28*14.0135/12/12)))*3/3/29.6)*30</f>
        <v>34983.619481981979</v>
      </c>
      <c r="U28" s="171">
        <f t="shared" ref="U28:U43" si="14">S28*2</f>
        <v>62912</v>
      </c>
      <c r="V28" s="85">
        <f t="shared" ref="V28:V43" si="15">(S28*14.0135)/12</f>
        <v>36734.054666666671</v>
      </c>
      <c r="W28" s="171">
        <f t="shared" ref="W28:W43" si="16">(S28*7)+T28+U28+V28</f>
        <v>354821.67414864863</v>
      </c>
      <c r="X28" s="171">
        <f t="shared" ref="X28:X43" si="17">((S28*7)+T28+V28)*0.1725</f>
        <v>50354.418790641881</v>
      </c>
      <c r="Y28" s="171">
        <f t="shared" ref="Y28:Y43" si="18">W28+X28</f>
        <v>405176.09293929051</v>
      </c>
    </row>
    <row r="29" spans="1:25">
      <c r="A29" s="92">
        <v>2</v>
      </c>
      <c r="B29" s="75" t="s">
        <v>135</v>
      </c>
      <c r="C29" s="92">
        <v>1</v>
      </c>
      <c r="D29" s="171">
        <v>7040</v>
      </c>
      <c r="E29" s="87">
        <v>1.4</v>
      </c>
      <c r="F29" s="171">
        <f t="shared" ref="F29:F43" si="19">+D29*E29</f>
        <v>9856</v>
      </c>
      <c r="G29" s="93"/>
      <c r="H29" s="171"/>
      <c r="I29" s="87"/>
      <c r="J29" s="87"/>
      <c r="K29" s="87"/>
      <c r="L29" s="93"/>
      <c r="M29" s="87"/>
      <c r="N29" s="87"/>
      <c r="O29" s="171">
        <f>13400+4200</f>
        <v>17600</v>
      </c>
      <c r="P29" s="93"/>
      <c r="Q29" s="170"/>
      <c r="R29" s="171">
        <f t="shared" si="11"/>
        <v>27456</v>
      </c>
      <c r="S29" s="171">
        <f t="shared" si="12"/>
        <v>27456</v>
      </c>
      <c r="T29" s="85">
        <f t="shared" si="13"/>
        <v>30535.041216216214</v>
      </c>
      <c r="U29" s="171">
        <f t="shared" si="14"/>
        <v>54912</v>
      </c>
      <c r="V29" s="85">
        <f t="shared" si="15"/>
        <v>32062.888000000003</v>
      </c>
      <c r="W29" s="171">
        <f t="shared" si="16"/>
        <v>309701.9292162162</v>
      </c>
      <c r="X29" s="171">
        <f t="shared" si="17"/>
        <v>43951.2627897973</v>
      </c>
      <c r="Y29" s="171">
        <f t="shared" si="18"/>
        <v>353653.19200601347</v>
      </c>
    </row>
    <row r="30" spans="1:25">
      <c r="A30" s="92">
        <v>3</v>
      </c>
      <c r="B30" s="75" t="s">
        <v>136</v>
      </c>
      <c r="C30" s="92">
        <v>1</v>
      </c>
      <c r="D30" s="171">
        <v>7040</v>
      </c>
      <c r="E30" s="87">
        <v>1.7</v>
      </c>
      <c r="F30" s="171">
        <f t="shared" si="19"/>
        <v>11968</v>
      </c>
      <c r="G30" s="93"/>
      <c r="H30" s="171"/>
      <c r="I30" s="87"/>
      <c r="J30" s="87"/>
      <c r="K30" s="87"/>
      <c r="L30" s="93"/>
      <c r="M30" s="87"/>
      <c r="N30" s="87"/>
      <c r="O30" s="171">
        <f>11600+4500</f>
        <v>16100</v>
      </c>
      <c r="P30" s="93"/>
      <c r="Q30" s="170"/>
      <c r="R30" s="171">
        <f t="shared" si="11"/>
        <v>28068</v>
      </c>
      <c r="S30" s="171">
        <f t="shared" si="12"/>
        <v>28068</v>
      </c>
      <c r="T30" s="85">
        <f t="shared" si="13"/>
        <v>31215.673690878375</v>
      </c>
      <c r="U30" s="171">
        <f t="shared" si="14"/>
        <v>56136</v>
      </c>
      <c r="V30" s="85">
        <f t="shared" si="15"/>
        <v>32777.576500000003</v>
      </c>
      <c r="W30" s="171">
        <f t="shared" si="16"/>
        <v>316605.2501908784</v>
      </c>
      <c r="X30" s="171">
        <f t="shared" si="17"/>
        <v>44930.945657926517</v>
      </c>
      <c r="Y30" s="171">
        <f t="shared" si="18"/>
        <v>361536.1958488049</v>
      </c>
    </row>
    <row r="31" spans="1:25">
      <c r="A31" s="92">
        <v>4</v>
      </c>
      <c r="B31" s="75" t="s">
        <v>42</v>
      </c>
      <c r="C31" s="92">
        <v>1</v>
      </c>
      <c r="D31" s="171">
        <v>7040</v>
      </c>
      <c r="E31" s="87">
        <v>1.7</v>
      </c>
      <c r="F31" s="171">
        <f t="shared" si="19"/>
        <v>11968</v>
      </c>
      <c r="G31" s="93"/>
      <c r="H31" s="171"/>
      <c r="I31" s="87"/>
      <c r="J31" s="87"/>
      <c r="K31" s="87"/>
      <c r="L31" s="93"/>
      <c r="M31" s="87"/>
      <c r="N31" s="87"/>
      <c r="O31" s="171">
        <f t="shared" ref="O31:O37" si="20">11600+4500</f>
        <v>16100</v>
      </c>
      <c r="P31" s="93"/>
      <c r="Q31" s="170"/>
      <c r="R31" s="171">
        <f t="shared" si="11"/>
        <v>28068</v>
      </c>
      <c r="S31" s="171">
        <f t="shared" si="12"/>
        <v>28068</v>
      </c>
      <c r="T31" s="85">
        <f t="shared" si="13"/>
        <v>31215.673690878375</v>
      </c>
      <c r="U31" s="171">
        <f t="shared" si="14"/>
        <v>56136</v>
      </c>
      <c r="V31" s="85">
        <f t="shared" si="15"/>
        <v>32777.576500000003</v>
      </c>
      <c r="W31" s="171">
        <f t="shared" si="16"/>
        <v>316605.2501908784</v>
      </c>
      <c r="X31" s="171">
        <f t="shared" si="17"/>
        <v>44930.945657926517</v>
      </c>
      <c r="Y31" s="171">
        <f t="shared" si="18"/>
        <v>361536.1958488049</v>
      </c>
    </row>
    <row r="32" spans="1:25">
      <c r="A32" s="92">
        <v>5</v>
      </c>
      <c r="B32" s="75" t="s">
        <v>43</v>
      </c>
      <c r="C32" s="92">
        <v>4</v>
      </c>
      <c r="D32" s="171">
        <v>7040</v>
      </c>
      <c r="E32" s="87">
        <v>1.7</v>
      </c>
      <c r="F32" s="171">
        <f t="shared" si="19"/>
        <v>11968</v>
      </c>
      <c r="G32" s="93"/>
      <c r="H32" s="171"/>
      <c r="I32" s="87"/>
      <c r="J32" s="87"/>
      <c r="K32" s="87"/>
      <c r="L32" s="93"/>
      <c r="M32" s="87"/>
      <c r="N32" s="87"/>
      <c r="O32" s="171">
        <f t="shared" si="20"/>
        <v>16100</v>
      </c>
      <c r="P32" s="93"/>
      <c r="Q32" s="170"/>
      <c r="R32" s="171">
        <f t="shared" si="11"/>
        <v>28068</v>
      </c>
      <c r="S32" s="171">
        <f t="shared" si="12"/>
        <v>112272</v>
      </c>
      <c r="T32" s="85">
        <f t="shared" si="13"/>
        <v>124862.6947635135</v>
      </c>
      <c r="U32" s="171">
        <f t="shared" si="14"/>
        <v>224544</v>
      </c>
      <c r="V32" s="85">
        <f t="shared" si="15"/>
        <v>131110.30600000001</v>
      </c>
      <c r="W32" s="171">
        <f t="shared" si="16"/>
        <v>1266421.0007635136</v>
      </c>
      <c r="X32" s="171">
        <f t="shared" si="17"/>
        <v>179723.78263170607</v>
      </c>
      <c r="Y32" s="171">
        <f t="shared" si="18"/>
        <v>1446144.7833952196</v>
      </c>
    </row>
    <row r="33" spans="1:25">
      <c r="A33" s="92">
        <v>6</v>
      </c>
      <c r="B33" s="75" t="s">
        <v>44</v>
      </c>
      <c r="C33" s="92">
        <v>2</v>
      </c>
      <c r="D33" s="171">
        <v>7040</v>
      </c>
      <c r="E33" s="87">
        <v>1.7</v>
      </c>
      <c r="F33" s="171">
        <f t="shared" si="19"/>
        <v>11968</v>
      </c>
      <c r="G33" s="93"/>
      <c r="H33" s="171"/>
      <c r="I33" s="87"/>
      <c r="J33" s="87"/>
      <c r="K33" s="87"/>
      <c r="L33" s="93"/>
      <c r="M33" s="87"/>
      <c r="N33" s="87"/>
      <c r="O33" s="171">
        <f t="shared" si="20"/>
        <v>16100</v>
      </c>
      <c r="P33" s="93"/>
      <c r="Q33" s="170"/>
      <c r="R33" s="171">
        <f t="shared" si="11"/>
        <v>28068</v>
      </c>
      <c r="S33" s="171">
        <f t="shared" si="12"/>
        <v>56136</v>
      </c>
      <c r="T33" s="85">
        <f t="shared" si="13"/>
        <v>62431.34738175675</v>
      </c>
      <c r="U33" s="171">
        <f t="shared" si="14"/>
        <v>112272</v>
      </c>
      <c r="V33" s="85">
        <f t="shared" si="15"/>
        <v>65555.153000000006</v>
      </c>
      <c r="W33" s="171">
        <f t="shared" si="16"/>
        <v>633210.50038175681</v>
      </c>
      <c r="X33" s="171">
        <f t="shared" si="17"/>
        <v>89861.891315853034</v>
      </c>
      <c r="Y33" s="171">
        <f t="shared" si="18"/>
        <v>723072.3916976098</v>
      </c>
    </row>
    <row r="34" spans="1:25">
      <c r="A34" s="92">
        <v>7</v>
      </c>
      <c r="B34" s="75" t="s">
        <v>137</v>
      </c>
      <c r="C34" s="92">
        <v>1</v>
      </c>
      <c r="D34" s="171">
        <v>7040</v>
      </c>
      <c r="E34" s="87">
        <v>1.7</v>
      </c>
      <c r="F34" s="171">
        <f t="shared" si="19"/>
        <v>11968</v>
      </c>
      <c r="G34" s="93"/>
      <c r="H34" s="171"/>
      <c r="I34" s="87"/>
      <c r="J34" s="87"/>
      <c r="K34" s="87"/>
      <c r="L34" s="93"/>
      <c r="M34" s="87"/>
      <c r="N34" s="87"/>
      <c r="O34" s="171">
        <f t="shared" si="20"/>
        <v>16100</v>
      </c>
      <c r="P34" s="93"/>
      <c r="Q34" s="170"/>
      <c r="R34" s="171">
        <f t="shared" si="11"/>
        <v>28068</v>
      </c>
      <c r="S34" s="171">
        <f t="shared" si="12"/>
        <v>28068</v>
      </c>
      <c r="T34" s="85">
        <f t="shared" si="13"/>
        <v>31215.673690878375</v>
      </c>
      <c r="U34" s="171">
        <f t="shared" si="14"/>
        <v>56136</v>
      </c>
      <c r="V34" s="85">
        <f t="shared" si="15"/>
        <v>32777.576500000003</v>
      </c>
      <c r="W34" s="171">
        <f t="shared" si="16"/>
        <v>316605.2501908784</v>
      </c>
      <c r="X34" s="171">
        <f t="shared" si="17"/>
        <v>44930.945657926517</v>
      </c>
      <c r="Y34" s="171">
        <f t="shared" si="18"/>
        <v>361536.1958488049</v>
      </c>
    </row>
    <row r="35" spans="1:25">
      <c r="A35" s="92">
        <v>8</v>
      </c>
      <c r="B35" s="75" t="s">
        <v>45</v>
      </c>
      <c r="C35" s="92">
        <v>2</v>
      </c>
      <c r="D35" s="171">
        <v>7040</v>
      </c>
      <c r="E35" s="87">
        <v>1.7</v>
      </c>
      <c r="F35" s="171">
        <f t="shared" si="19"/>
        <v>11968</v>
      </c>
      <c r="G35" s="93"/>
      <c r="H35" s="171"/>
      <c r="I35" s="87"/>
      <c r="J35" s="87"/>
      <c r="K35" s="87"/>
      <c r="L35" s="93"/>
      <c r="M35" s="87"/>
      <c r="N35" s="87"/>
      <c r="O35" s="171">
        <f t="shared" si="20"/>
        <v>16100</v>
      </c>
      <c r="P35" s="93"/>
      <c r="Q35" s="170"/>
      <c r="R35" s="171">
        <f t="shared" si="11"/>
        <v>28068</v>
      </c>
      <c r="S35" s="171">
        <f t="shared" si="12"/>
        <v>56136</v>
      </c>
      <c r="T35" s="85">
        <f t="shared" si="13"/>
        <v>62431.34738175675</v>
      </c>
      <c r="U35" s="171">
        <f t="shared" si="14"/>
        <v>112272</v>
      </c>
      <c r="V35" s="85">
        <f t="shared" si="15"/>
        <v>65555.153000000006</v>
      </c>
      <c r="W35" s="171">
        <f t="shared" si="16"/>
        <v>633210.50038175681</v>
      </c>
      <c r="X35" s="171">
        <f t="shared" si="17"/>
        <v>89861.891315853034</v>
      </c>
      <c r="Y35" s="171">
        <f t="shared" si="18"/>
        <v>723072.3916976098</v>
      </c>
    </row>
    <row r="36" spans="1:25">
      <c r="A36" s="92">
        <v>9</v>
      </c>
      <c r="B36" s="75" t="s">
        <v>46</v>
      </c>
      <c r="C36" s="92">
        <v>1</v>
      </c>
      <c r="D36" s="171">
        <v>7040</v>
      </c>
      <c r="E36" s="87">
        <v>1.7</v>
      </c>
      <c r="F36" s="171">
        <f t="shared" si="19"/>
        <v>11968</v>
      </c>
      <c r="G36" s="93"/>
      <c r="H36" s="171"/>
      <c r="I36" s="87"/>
      <c r="J36" s="87"/>
      <c r="K36" s="87"/>
      <c r="L36" s="93"/>
      <c r="M36" s="87"/>
      <c r="N36" s="87"/>
      <c r="O36" s="171">
        <f t="shared" si="20"/>
        <v>16100</v>
      </c>
      <c r="P36" s="93"/>
      <c r="Q36" s="170"/>
      <c r="R36" s="171">
        <f t="shared" si="11"/>
        <v>28068</v>
      </c>
      <c r="S36" s="171">
        <f t="shared" si="12"/>
        <v>28068</v>
      </c>
      <c r="T36" s="85">
        <f t="shared" si="13"/>
        <v>31215.673690878375</v>
      </c>
      <c r="U36" s="171">
        <f t="shared" si="14"/>
        <v>56136</v>
      </c>
      <c r="V36" s="85">
        <f t="shared" si="15"/>
        <v>32777.576500000003</v>
      </c>
      <c r="W36" s="171">
        <f t="shared" si="16"/>
        <v>316605.2501908784</v>
      </c>
      <c r="X36" s="171">
        <f t="shared" si="17"/>
        <v>44930.945657926517</v>
      </c>
      <c r="Y36" s="171">
        <f t="shared" si="18"/>
        <v>361536.1958488049</v>
      </c>
    </row>
    <row r="37" spans="1:25">
      <c r="A37" s="92">
        <v>10</v>
      </c>
      <c r="B37" s="75" t="s">
        <v>138</v>
      </c>
      <c r="C37" s="92">
        <v>1</v>
      </c>
      <c r="D37" s="171">
        <v>7040</v>
      </c>
      <c r="E37" s="87">
        <v>1.7</v>
      </c>
      <c r="F37" s="171">
        <f t="shared" si="19"/>
        <v>11968</v>
      </c>
      <c r="G37" s="93"/>
      <c r="H37" s="171"/>
      <c r="I37" s="87"/>
      <c r="J37" s="87"/>
      <c r="K37" s="87"/>
      <c r="L37" s="93"/>
      <c r="M37" s="87"/>
      <c r="N37" s="87"/>
      <c r="O37" s="171">
        <f t="shared" si="20"/>
        <v>16100</v>
      </c>
      <c r="P37" s="93"/>
      <c r="Q37" s="170"/>
      <c r="R37" s="171">
        <f t="shared" si="11"/>
        <v>28068</v>
      </c>
      <c r="S37" s="171">
        <f t="shared" si="12"/>
        <v>28068</v>
      </c>
      <c r="T37" s="85">
        <f t="shared" si="13"/>
        <v>31215.673690878375</v>
      </c>
      <c r="U37" s="171">
        <f t="shared" si="14"/>
        <v>56136</v>
      </c>
      <c r="V37" s="85">
        <f t="shared" si="15"/>
        <v>32777.576500000003</v>
      </c>
      <c r="W37" s="171">
        <f t="shared" si="16"/>
        <v>316605.2501908784</v>
      </c>
      <c r="X37" s="171">
        <f t="shared" si="17"/>
        <v>44930.945657926517</v>
      </c>
      <c r="Y37" s="171">
        <f t="shared" si="18"/>
        <v>361536.1958488049</v>
      </c>
    </row>
    <row r="38" spans="1:25">
      <c r="A38" s="92">
        <v>11</v>
      </c>
      <c r="B38" s="75" t="s">
        <v>171</v>
      </c>
      <c r="C38" s="92">
        <v>4</v>
      </c>
      <c r="D38" s="171">
        <v>7040</v>
      </c>
      <c r="E38" s="87">
        <v>1.7</v>
      </c>
      <c r="F38" s="171">
        <f t="shared" si="19"/>
        <v>11968</v>
      </c>
      <c r="G38" s="93"/>
      <c r="H38" s="171"/>
      <c r="I38" s="92"/>
      <c r="J38" s="92"/>
      <c r="K38" s="92"/>
      <c r="L38" s="93"/>
      <c r="M38" s="94"/>
      <c r="N38" s="92"/>
      <c r="O38" s="171">
        <f>11600+4500</f>
        <v>16100</v>
      </c>
      <c r="P38" s="93"/>
      <c r="Q38" s="170"/>
      <c r="R38" s="171">
        <f t="shared" si="11"/>
        <v>28068</v>
      </c>
      <c r="S38" s="171">
        <f t="shared" si="12"/>
        <v>112272</v>
      </c>
      <c r="T38" s="85">
        <f t="shared" si="13"/>
        <v>124862.6947635135</v>
      </c>
      <c r="U38" s="171">
        <f t="shared" si="14"/>
        <v>224544</v>
      </c>
      <c r="V38" s="85">
        <f t="shared" si="15"/>
        <v>131110.30600000001</v>
      </c>
      <c r="W38" s="171">
        <f t="shared" si="16"/>
        <v>1266421.0007635136</v>
      </c>
      <c r="X38" s="171">
        <f t="shared" si="17"/>
        <v>179723.78263170607</v>
      </c>
      <c r="Y38" s="171">
        <f t="shared" si="18"/>
        <v>1446144.7833952196</v>
      </c>
    </row>
    <row r="39" spans="1:25">
      <c r="A39" s="92">
        <v>12</v>
      </c>
      <c r="B39" s="75" t="s">
        <v>45</v>
      </c>
      <c r="C39" s="92">
        <v>2</v>
      </c>
      <c r="D39" s="171">
        <v>7040</v>
      </c>
      <c r="E39" s="87">
        <v>1.7</v>
      </c>
      <c r="F39" s="171">
        <f t="shared" si="19"/>
        <v>11968</v>
      </c>
      <c r="G39" s="93"/>
      <c r="H39" s="171"/>
      <c r="I39" s="92"/>
      <c r="J39" s="92"/>
      <c r="K39" s="92"/>
      <c r="L39" s="93"/>
      <c r="M39" s="94"/>
      <c r="N39" s="92"/>
      <c r="O39" s="171">
        <f>11600+4500</f>
        <v>16100</v>
      </c>
      <c r="P39" s="93"/>
      <c r="Q39" s="170"/>
      <c r="R39" s="171">
        <f t="shared" si="11"/>
        <v>28068</v>
      </c>
      <c r="S39" s="171">
        <f t="shared" si="12"/>
        <v>56136</v>
      </c>
      <c r="T39" s="85">
        <f t="shared" si="13"/>
        <v>62431.34738175675</v>
      </c>
      <c r="U39" s="171">
        <f t="shared" si="14"/>
        <v>112272</v>
      </c>
      <c r="V39" s="85">
        <f t="shared" si="15"/>
        <v>65555.153000000006</v>
      </c>
      <c r="W39" s="171">
        <f t="shared" si="16"/>
        <v>633210.50038175681</v>
      </c>
      <c r="X39" s="171">
        <f t="shared" si="17"/>
        <v>89861.891315853034</v>
      </c>
      <c r="Y39" s="171">
        <f t="shared" si="18"/>
        <v>723072.3916976098</v>
      </c>
    </row>
    <row r="40" spans="1:25">
      <c r="A40" s="92">
        <v>13</v>
      </c>
      <c r="B40" s="75" t="s">
        <v>139</v>
      </c>
      <c r="C40" s="92">
        <v>19</v>
      </c>
      <c r="D40" s="171">
        <v>7040</v>
      </c>
      <c r="E40" s="95">
        <v>1.2</v>
      </c>
      <c r="F40" s="171">
        <f t="shared" si="19"/>
        <v>8448</v>
      </c>
      <c r="G40" s="93"/>
      <c r="H40" s="171"/>
      <c r="I40" s="87"/>
      <c r="J40" s="87"/>
      <c r="K40" s="87"/>
      <c r="L40" s="93"/>
      <c r="M40" s="87"/>
      <c r="N40" s="87"/>
      <c r="O40" s="171">
        <v>24200</v>
      </c>
      <c r="P40" s="93"/>
      <c r="Q40" s="170"/>
      <c r="R40" s="171">
        <f t="shared" si="11"/>
        <v>32648</v>
      </c>
      <c r="S40" s="171">
        <f>R40*C40</f>
        <v>620312</v>
      </c>
      <c r="T40" s="85">
        <f t="shared" si="13"/>
        <v>689876.62029842346</v>
      </c>
      <c r="U40" s="171">
        <f t="shared" si="14"/>
        <v>1240624</v>
      </c>
      <c r="V40" s="85">
        <f t="shared" si="15"/>
        <v>724395.1843333334</v>
      </c>
      <c r="W40" s="171">
        <f t="shared" si="16"/>
        <v>6997079.8046317575</v>
      </c>
      <c r="X40" s="171">
        <f t="shared" si="17"/>
        <v>992988.62629897811</v>
      </c>
      <c r="Y40" s="171">
        <f t="shared" si="18"/>
        <v>7990068.4309307355</v>
      </c>
    </row>
    <row r="41" spans="1:25">
      <c r="A41" s="92">
        <v>14</v>
      </c>
      <c r="B41" s="174" t="s">
        <v>47</v>
      </c>
      <c r="C41" s="96">
        <v>3</v>
      </c>
      <c r="D41" s="171">
        <v>7040</v>
      </c>
      <c r="E41" s="95">
        <v>1.2</v>
      </c>
      <c r="F41" s="171">
        <f t="shared" si="19"/>
        <v>8448</v>
      </c>
      <c r="G41" s="93"/>
      <c r="H41" s="171"/>
      <c r="I41" s="96"/>
      <c r="J41" s="96"/>
      <c r="K41" s="96"/>
      <c r="L41" s="93"/>
      <c r="M41" s="94"/>
      <c r="N41" s="96"/>
      <c r="O41" s="171">
        <f>7300</f>
        <v>7300</v>
      </c>
      <c r="P41" s="93">
        <v>0.5</v>
      </c>
      <c r="Q41" s="170">
        <f>+P41*F41</f>
        <v>4224</v>
      </c>
      <c r="R41" s="171">
        <f t="shared" si="11"/>
        <v>19972</v>
      </c>
      <c r="S41" s="171">
        <f t="shared" ref="S41:S43" si="21">R41*C41</f>
        <v>59916</v>
      </c>
      <c r="T41" s="85">
        <f t="shared" si="13"/>
        <v>66635.253842905397</v>
      </c>
      <c r="U41" s="171">
        <f t="shared" si="14"/>
        <v>119832</v>
      </c>
      <c r="V41" s="85">
        <f t="shared" si="15"/>
        <v>69969.405500000008</v>
      </c>
      <c r="W41" s="171">
        <f t="shared" si="16"/>
        <v>675848.65934290539</v>
      </c>
      <c r="X41" s="171">
        <f t="shared" si="17"/>
        <v>95912.873736651178</v>
      </c>
      <c r="Y41" s="171">
        <f t="shared" si="18"/>
        <v>771761.53307955654</v>
      </c>
    </row>
    <row r="42" spans="1:25">
      <c r="A42" s="92">
        <v>15</v>
      </c>
      <c r="B42" s="75" t="s">
        <v>48</v>
      </c>
      <c r="C42" s="92">
        <v>2</v>
      </c>
      <c r="D42" s="171">
        <v>7040</v>
      </c>
      <c r="E42" s="95">
        <v>1.2</v>
      </c>
      <c r="F42" s="171">
        <f t="shared" si="19"/>
        <v>8448</v>
      </c>
      <c r="G42" s="93"/>
      <c r="H42" s="171"/>
      <c r="I42" s="92"/>
      <c r="J42" s="92"/>
      <c r="K42" s="92"/>
      <c r="L42" s="93"/>
      <c r="M42" s="94"/>
      <c r="N42" s="92"/>
      <c r="O42" s="171">
        <f>7300</f>
        <v>7300</v>
      </c>
      <c r="P42" s="93">
        <v>0.5</v>
      </c>
      <c r="Q42" s="170">
        <f>+P42*F42</f>
        <v>4224</v>
      </c>
      <c r="R42" s="171">
        <f t="shared" si="11"/>
        <v>19972</v>
      </c>
      <c r="S42" s="171">
        <f t="shared" si="21"/>
        <v>39944</v>
      </c>
      <c r="T42" s="85">
        <f t="shared" si="13"/>
        <v>44423.502561936933</v>
      </c>
      <c r="U42" s="171">
        <f t="shared" si="14"/>
        <v>79888</v>
      </c>
      <c r="V42" s="85">
        <f t="shared" si="15"/>
        <v>46646.270333333341</v>
      </c>
      <c r="W42" s="171">
        <f t="shared" si="16"/>
        <v>450565.77289527026</v>
      </c>
      <c r="X42" s="171">
        <f t="shared" si="17"/>
        <v>63941.915824434116</v>
      </c>
      <c r="Y42" s="171">
        <f t="shared" si="18"/>
        <v>514507.6887197044</v>
      </c>
    </row>
    <row r="43" spans="1:25">
      <c r="A43" s="92">
        <v>16</v>
      </c>
      <c r="B43" s="75" t="s">
        <v>66</v>
      </c>
      <c r="C43" s="92">
        <v>1</v>
      </c>
      <c r="D43" s="171">
        <v>7040</v>
      </c>
      <c r="E43" s="95">
        <v>1.2</v>
      </c>
      <c r="F43" s="171">
        <f t="shared" si="19"/>
        <v>8448</v>
      </c>
      <c r="G43" s="93"/>
      <c r="H43" s="171"/>
      <c r="I43" s="92"/>
      <c r="J43" s="92"/>
      <c r="K43" s="92"/>
      <c r="L43" s="93"/>
      <c r="M43" s="94"/>
      <c r="N43" s="92"/>
      <c r="O43" s="171">
        <f>3700+2500</f>
        <v>6200</v>
      </c>
      <c r="P43" s="93">
        <v>0.25</v>
      </c>
      <c r="Q43" s="170">
        <f>+P43*F43</f>
        <v>2112</v>
      </c>
      <c r="R43" s="171">
        <f t="shared" si="11"/>
        <v>16760</v>
      </c>
      <c r="S43" s="171">
        <f t="shared" si="21"/>
        <v>16760</v>
      </c>
      <c r="T43" s="85">
        <f t="shared" si="13"/>
        <v>18639.542933558558</v>
      </c>
      <c r="U43" s="171">
        <f t="shared" si="14"/>
        <v>33520</v>
      </c>
      <c r="V43" s="85">
        <f t="shared" si="15"/>
        <v>19572.188333333335</v>
      </c>
      <c r="W43" s="171">
        <f t="shared" si="16"/>
        <v>189051.73126689187</v>
      </c>
      <c r="X43" s="171">
        <f t="shared" si="17"/>
        <v>26829.223643538848</v>
      </c>
      <c r="Y43" s="171">
        <f t="shared" si="18"/>
        <v>215880.95491043071</v>
      </c>
    </row>
    <row r="44" spans="1:25">
      <c r="A44" s="125"/>
      <c r="B44" s="125" t="s">
        <v>31</v>
      </c>
      <c r="C44" s="82">
        <f>SUM(C28:C43)</f>
        <v>46</v>
      </c>
      <c r="D44" s="132">
        <f>SUM(D28:D43)</f>
        <v>112640</v>
      </c>
      <c r="E44" s="82"/>
      <c r="F44" s="132">
        <f t="shared" ref="F44:O44" si="22">SUM(F28:F43)</f>
        <v>173184</v>
      </c>
      <c r="G44" s="82">
        <f t="shared" si="22"/>
        <v>0</v>
      </c>
      <c r="H44" s="132">
        <f t="shared" si="22"/>
        <v>0</v>
      </c>
      <c r="I44" s="82">
        <f t="shared" si="22"/>
        <v>0</v>
      </c>
      <c r="J44" s="82">
        <f t="shared" si="22"/>
        <v>0</v>
      </c>
      <c r="K44" s="82">
        <f t="shared" si="22"/>
        <v>0</v>
      </c>
      <c r="L44" s="82">
        <f t="shared" si="22"/>
        <v>0</v>
      </c>
      <c r="M44" s="82">
        <f t="shared" si="22"/>
        <v>0</v>
      </c>
      <c r="N44" s="82">
        <f t="shared" si="22"/>
        <v>0</v>
      </c>
      <c r="O44" s="132">
        <f t="shared" si="22"/>
        <v>245200</v>
      </c>
      <c r="P44" s="82"/>
      <c r="Q44" s="132">
        <f t="shared" ref="Q44:Y44" si="23">SUM(Q28:Q43)</f>
        <v>10560</v>
      </c>
      <c r="R44" s="132">
        <f t="shared" si="23"/>
        <v>428944</v>
      </c>
      <c r="S44" s="132">
        <f t="shared" si="23"/>
        <v>1329136</v>
      </c>
      <c r="T44" s="132">
        <f t="shared" si="23"/>
        <v>1478191.3804617117</v>
      </c>
      <c r="U44" s="132">
        <f t="shared" si="23"/>
        <v>2658272</v>
      </c>
      <c r="V44" s="132">
        <f t="shared" si="23"/>
        <v>1552153.9446666669</v>
      </c>
      <c r="W44" s="132">
        <f t="shared" si="23"/>
        <v>14992569.325128378</v>
      </c>
      <c r="X44" s="132">
        <f t="shared" si="23"/>
        <v>2127666.2885846454</v>
      </c>
      <c r="Y44" s="132">
        <f t="shared" si="23"/>
        <v>17120235.613713026</v>
      </c>
    </row>
    <row r="47" spans="1:25">
      <c r="B47" s="451" t="s">
        <v>519</v>
      </c>
      <c r="C47" s="450"/>
      <c r="D47" s="450"/>
      <c r="E47" s="450"/>
      <c r="F47" s="450"/>
      <c r="G47" s="450"/>
      <c r="H47" s="450"/>
      <c r="I47" s="450"/>
      <c r="J47" s="450"/>
      <c r="K47" s="450"/>
      <c r="L47" s="450"/>
      <c r="M47" s="450"/>
      <c r="N47" s="450"/>
      <c r="O47" s="450"/>
      <c r="P47" s="450"/>
      <c r="Q47" s="450"/>
      <c r="R47" s="450"/>
      <c r="S47" s="450"/>
      <c r="T47" s="450"/>
      <c r="U47" s="450"/>
      <c r="V47" s="450"/>
      <c r="W47" s="450"/>
      <c r="X47" s="450"/>
      <c r="Y47" s="450"/>
    </row>
  </sheetData>
  <mergeCells count="25">
    <mergeCell ref="B47:Y47"/>
    <mergeCell ref="X1:Y1"/>
    <mergeCell ref="A3:Y3"/>
    <mergeCell ref="A5:A7"/>
    <mergeCell ref="B5:B7"/>
    <mergeCell ref="C5:C7"/>
    <mergeCell ref="D5:D7"/>
    <mergeCell ref="E5:E7"/>
    <mergeCell ref="F5:F7"/>
    <mergeCell ref="G5:Q5"/>
    <mergeCell ref="R5:R6"/>
    <mergeCell ref="S5:S6"/>
    <mergeCell ref="T5:T6"/>
    <mergeCell ref="U5:U6"/>
    <mergeCell ref="Y5:Y6"/>
    <mergeCell ref="G6:H6"/>
    <mergeCell ref="J6:K6"/>
    <mergeCell ref="W5:W6"/>
    <mergeCell ref="A9:Y9"/>
    <mergeCell ref="A27:Y27"/>
    <mergeCell ref="X5:X6"/>
    <mergeCell ref="L6:M6"/>
    <mergeCell ref="N6:O6"/>
    <mergeCell ref="P6:Q6"/>
    <mergeCell ref="V5:V6"/>
  </mergeCells>
  <pageMargins left="0" right="0" top="0.74803149606299213" bottom="0.74803149606299213" header="0.31496062992125984" footer="0.31496062992125984"/>
  <pageSetup paperSize="9" scale="83" fitToHeight="0" orientation="landscape" r:id="rId1"/>
  <rowBreaks count="1" manualBreakCount="1">
    <brk id="26" max="24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  <pageSetUpPr fitToPage="1"/>
  </sheetPr>
  <dimension ref="A1:Y41"/>
  <sheetViews>
    <sheetView view="pageBreakPreview" topLeftCell="A9" zoomScaleNormal="100" zoomScaleSheetLayoutView="100" workbookViewId="0">
      <selection activeCell="V40" sqref="V40"/>
    </sheetView>
  </sheetViews>
  <sheetFormatPr defaultRowHeight="12.75"/>
  <cols>
    <col min="1" max="1" width="4.5703125" style="64" customWidth="1"/>
    <col min="2" max="2" width="27.140625" style="64" customWidth="1"/>
    <col min="3" max="3" width="3.7109375" style="64" customWidth="1"/>
    <col min="4" max="4" width="7.7109375" style="64" customWidth="1"/>
    <col min="5" max="5" width="5.85546875" style="64" customWidth="1"/>
    <col min="6" max="6" width="7.7109375" style="64" customWidth="1"/>
    <col min="7" max="7" width="5.85546875" style="64" customWidth="1"/>
    <col min="8" max="8" width="7.5703125" style="64" customWidth="1"/>
    <col min="9" max="9" width="6.28515625" style="64" hidden="1" customWidth="1"/>
    <col min="10" max="10" width="4.7109375" style="64" hidden="1" customWidth="1"/>
    <col min="11" max="11" width="5.140625" style="64" hidden="1" customWidth="1"/>
    <col min="12" max="12" width="5" style="64" hidden="1" customWidth="1"/>
    <col min="13" max="13" width="9" style="64" hidden="1" customWidth="1"/>
    <col min="14" max="14" width="5" style="64" customWidth="1"/>
    <col min="15" max="15" width="7.7109375" style="64" customWidth="1"/>
    <col min="16" max="16" width="4.7109375" style="64" customWidth="1"/>
    <col min="17" max="17" width="6.5703125" style="64" customWidth="1"/>
    <col min="18" max="18" width="8.140625" style="64" customWidth="1"/>
    <col min="19" max="22" width="9" style="64" customWidth="1"/>
    <col min="23" max="23" width="9.7109375" style="64" customWidth="1"/>
    <col min="24" max="24" width="9" style="64" customWidth="1"/>
    <col min="25" max="25" width="10.140625" style="64" customWidth="1"/>
    <col min="26" max="252" width="8.85546875" style="64"/>
    <col min="253" max="253" width="4.5703125" style="64" customWidth="1"/>
    <col min="254" max="254" width="23.42578125" style="64" customWidth="1"/>
    <col min="255" max="255" width="7.7109375" style="64" customWidth="1"/>
    <col min="256" max="256" width="9.28515625" style="64" customWidth="1"/>
    <col min="257" max="258" width="7.28515625" style="64" customWidth="1"/>
    <col min="259" max="259" width="9.85546875" style="64" customWidth="1"/>
    <col min="260" max="260" width="5.85546875" style="64" customWidth="1"/>
    <col min="261" max="261" width="6.28515625" style="64" customWidth="1"/>
    <col min="262" max="262" width="8" style="64" customWidth="1"/>
    <col min="263" max="263" width="9.5703125" style="64" customWidth="1"/>
    <col min="264" max="264" width="11.42578125" style="64" customWidth="1"/>
    <col min="265" max="265" width="10.42578125" style="64" customWidth="1"/>
    <col min="266" max="266" width="11.85546875" style="64" customWidth="1"/>
    <col min="267" max="267" width="12" style="64" customWidth="1"/>
    <col min="268" max="269" width="0" style="64" hidden="1" customWidth="1"/>
    <col min="270" max="270" width="11.7109375" style="64" customWidth="1"/>
    <col min="271" max="508" width="8.85546875" style="64"/>
    <col min="509" max="509" width="4.5703125" style="64" customWidth="1"/>
    <col min="510" max="510" width="23.42578125" style="64" customWidth="1"/>
    <col min="511" max="511" width="7.7109375" style="64" customWidth="1"/>
    <col min="512" max="512" width="9.28515625" style="64" customWidth="1"/>
    <col min="513" max="514" width="7.28515625" style="64" customWidth="1"/>
    <col min="515" max="515" width="9.85546875" style="64" customWidth="1"/>
    <col min="516" max="516" width="5.85546875" style="64" customWidth="1"/>
    <col min="517" max="517" width="6.28515625" style="64" customWidth="1"/>
    <col min="518" max="518" width="8" style="64" customWidth="1"/>
    <col min="519" max="519" width="9.5703125" style="64" customWidth="1"/>
    <col min="520" max="520" width="11.42578125" style="64" customWidth="1"/>
    <col min="521" max="521" width="10.42578125" style="64" customWidth="1"/>
    <col min="522" max="522" width="11.85546875" style="64" customWidth="1"/>
    <col min="523" max="523" width="12" style="64" customWidth="1"/>
    <col min="524" max="525" width="0" style="64" hidden="1" customWidth="1"/>
    <col min="526" max="526" width="11.7109375" style="64" customWidth="1"/>
    <col min="527" max="764" width="8.85546875" style="64"/>
    <col min="765" max="765" width="4.5703125" style="64" customWidth="1"/>
    <col min="766" max="766" width="23.42578125" style="64" customWidth="1"/>
    <col min="767" max="767" width="7.7109375" style="64" customWidth="1"/>
    <col min="768" max="768" width="9.28515625" style="64" customWidth="1"/>
    <col min="769" max="770" width="7.28515625" style="64" customWidth="1"/>
    <col min="771" max="771" width="9.85546875" style="64" customWidth="1"/>
    <col min="772" max="772" width="5.85546875" style="64" customWidth="1"/>
    <col min="773" max="773" width="6.28515625" style="64" customWidth="1"/>
    <col min="774" max="774" width="8" style="64" customWidth="1"/>
    <col min="775" max="775" width="9.5703125" style="64" customWidth="1"/>
    <col min="776" max="776" width="11.42578125" style="64" customWidth="1"/>
    <col min="777" max="777" width="10.42578125" style="64" customWidth="1"/>
    <col min="778" max="778" width="11.85546875" style="64" customWidth="1"/>
    <col min="779" max="779" width="12" style="64" customWidth="1"/>
    <col min="780" max="781" width="0" style="64" hidden="1" customWidth="1"/>
    <col min="782" max="782" width="11.7109375" style="64" customWidth="1"/>
    <col min="783" max="1020" width="8.85546875" style="64"/>
    <col min="1021" max="1021" width="4.5703125" style="64" customWidth="1"/>
    <col min="1022" max="1022" width="23.42578125" style="64" customWidth="1"/>
    <col min="1023" max="1023" width="7.7109375" style="64" customWidth="1"/>
    <col min="1024" max="1024" width="9.28515625" style="64" customWidth="1"/>
    <col min="1025" max="1026" width="7.28515625" style="64" customWidth="1"/>
    <col min="1027" max="1027" width="9.85546875" style="64" customWidth="1"/>
    <col min="1028" max="1028" width="5.85546875" style="64" customWidth="1"/>
    <col min="1029" max="1029" width="6.28515625" style="64" customWidth="1"/>
    <col min="1030" max="1030" width="8" style="64" customWidth="1"/>
    <col min="1031" max="1031" width="9.5703125" style="64" customWidth="1"/>
    <col min="1032" max="1032" width="11.42578125" style="64" customWidth="1"/>
    <col min="1033" max="1033" width="10.42578125" style="64" customWidth="1"/>
    <col min="1034" max="1034" width="11.85546875" style="64" customWidth="1"/>
    <col min="1035" max="1035" width="12" style="64" customWidth="1"/>
    <col min="1036" max="1037" width="0" style="64" hidden="1" customWidth="1"/>
    <col min="1038" max="1038" width="11.7109375" style="64" customWidth="1"/>
    <col min="1039" max="1276" width="8.85546875" style="64"/>
    <col min="1277" max="1277" width="4.5703125" style="64" customWidth="1"/>
    <col min="1278" max="1278" width="23.42578125" style="64" customWidth="1"/>
    <col min="1279" max="1279" width="7.7109375" style="64" customWidth="1"/>
    <col min="1280" max="1280" width="9.28515625" style="64" customWidth="1"/>
    <col min="1281" max="1282" width="7.28515625" style="64" customWidth="1"/>
    <col min="1283" max="1283" width="9.85546875" style="64" customWidth="1"/>
    <col min="1284" max="1284" width="5.85546875" style="64" customWidth="1"/>
    <col min="1285" max="1285" width="6.28515625" style="64" customWidth="1"/>
    <col min="1286" max="1286" width="8" style="64" customWidth="1"/>
    <col min="1287" max="1287" width="9.5703125" style="64" customWidth="1"/>
    <col min="1288" max="1288" width="11.42578125" style="64" customWidth="1"/>
    <col min="1289" max="1289" width="10.42578125" style="64" customWidth="1"/>
    <col min="1290" max="1290" width="11.85546875" style="64" customWidth="1"/>
    <col min="1291" max="1291" width="12" style="64" customWidth="1"/>
    <col min="1292" max="1293" width="0" style="64" hidden="1" customWidth="1"/>
    <col min="1294" max="1294" width="11.7109375" style="64" customWidth="1"/>
    <col min="1295" max="1532" width="8.85546875" style="64"/>
    <col min="1533" max="1533" width="4.5703125" style="64" customWidth="1"/>
    <col min="1534" max="1534" width="23.42578125" style="64" customWidth="1"/>
    <col min="1535" max="1535" width="7.7109375" style="64" customWidth="1"/>
    <col min="1536" max="1536" width="9.28515625" style="64" customWidth="1"/>
    <col min="1537" max="1538" width="7.28515625" style="64" customWidth="1"/>
    <col min="1539" max="1539" width="9.85546875" style="64" customWidth="1"/>
    <col min="1540" max="1540" width="5.85546875" style="64" customWidth="1"/>
    <col min="1541" max="1541" width="6.28515625" style="64" customWidth="1"/>
    <col min="1542" max="1542" width="8" style="64" customWidth="1"/>
    <col min="1543" max="1543" width="9.5703125" style="64" customWidth="1"/>
    <col min="1544" max="1544" width="11.42578125" style="64" customWidth="1"/>
    <col min="1545" max="1545" width="10.42578125" style="64" customWidth="1"/>
    <col min="1546" max="1546" width="11.85546875" style="64" customWidth="1"/>
    <col min="1547" max="1547" width="12" style="64" customWidth="1"/>
    <col min="1548" max="1549" width="0" style="64" hidden="1" customWidth="1"/>
    <col min="1550" max="1550" width="11.7109375" style="64" customWidth="1"/>
    <col min="1551" max="1788" width="8.85546875" style="64"/>
    <col min="1789" max="1789" width="4.5703125" style="64" customWidth="1"/>
    <col min="1790" max="1790" width="23.42578125" style="64" customWidth="1"/>
    <col min="1791" max="1791" width="7.7109375" style="64" customWidth="1"/>
    <col min="1792" max="1792" width="9.28515625" style="64" customWidth="1"/>
    <col min="1793" max="1794" width="7.28515625" style="64" customWidth="1"/>
    <col min="1795" max="1795" width="9.85546875" style="64" customWidth="1"/>
    <col min="1796" max="1796" width="5.85546875" style="64" customWidth="1"/>
    <col min="1797" max="1797" width="6.28515625" style="64" customWidth="1"/>
    <col min="1798" max="1798" width="8" style="64" customWidth="1"/>
    <col min="1799" max="1799" width="9.5703125" style="64" customWidth="1"/>
    <col min="1800" max="1800" width="11.42578125" style="64" customWidth="1"/>
    <col min="1801" max="1801" width="10.42578125" style="64" customWidth="1"/>
    <col min="1802" max="1802" width="11.85546875" style="64" customWidth="1"/>
    <col min="1803" max="1803" width="12" style="64" customWidth="1"/>
    <col min="1804" max="1805" width="0" style="64" hidden="1" customWidth="1"/>
    <col min="1806" max="1806" width="11.7109375" style="64" customWidth="1"/>
    <col min="1807" max="2044" width="8.85546875" style="64"/>
    <col min="2045" max="2045" width="4.5703125" style="64" customWidth="1"/>
    <col min="2046" max="2046" width="23.42578125" style="64" customWidth="1"/>
    <col min="2047" max="2047" width="7.7109375" style="64" customWidth="1"/>
    <col min="2048" max="2048" width="9.28515625" style="64" customWidth="1"/>
    <col min="2049" max="2050" width="7.28515625" style="64" customWidth="1"/>
    <col min="2051" max="2051" width="9.85546875" style="64" customWidth="1"/>
    <col min="2052" max="2052" width="5.85546875" style="64" customWidth="1"/>
    <col min="2053" max="2053" width="6.28515625" style="64" customWidth="1"/>
    <col min="2054" max="2054" width="8" style="64" customWidth="1"/>
    <col min="2055" max="2055" width="9.5703125" style="64" customWidth="1"/>
    <col min="2056" max="2056" width="11.42578125" style="64" customWidth="1"/>
    <col min="2057" max="2057" width="10.42578125" style="64" customWidth="1"/>
    <col min="2058" max="2058" width="11.85546875" style="64" customWidth="1"/>
    <col min="2059" max="2059" width="12" style="64" customWidth="1"/>
    <col min="2060" max="2061" width="0" style="64" hidden="1" customWidth="1"/>
    <col min="2062" max="2062" width="11.7109375" style="64" customWidth="1"/>
    <col min="2063" max="2300" width="8.85546875" style="64"/>
    <col min="2301" max="2301" width="4.5703125" style="64" customWidth="1"/>
    <col min="2302" max="2302" width="23.42578125" style="64" customWidth="1"/>
    <col min="2303" max="2303" width="7.7109375" style="64" customWidth="1"/>
    <col min="2304" max="2304" width="9.28515625" style="64" customWidth="1"/>
    <col min="2305" max="2306" width="7.28515625" style="64" customWidth="1"/>
    <col min="2307" max="2307" width="9.85546875" style="64" customWidth="1"/>
    <col min="2308" max="2308" width="5.85546875" style="64" customWidth="1"/>
    <col min="2309" max="2309" width="6.28515625" style="64" customWidth="1"/>
    <col min="2310" max="2310" width="8" style="64" customWidth="1"/>
    <col min="2311" max="2311" width="9.5703125" style="64" customWidth="1"/>
    <col min="2312" max="2312" width="11.42578125" style="64" customWidth="1"/>
    <col min="2313" max="2313" width="10.42578125" style="64" customWidth="1"/>
    <col min="2314" max="2314" width="11.85546875" style="64" customWidth="1"/>
    <col min="2315" max="2315" width="12" style="64" customWidth="1"/>
    <col min="2316" max="2317" width="0" style="64" hidden="1" customWidth="1"/>
    <col min="2318" max="2318" width="11.7109375" style="64" customWidth="1"/>
    <col min="2319" max="2556" width="8.85546875" style="64"/>
    <col min="2557" max="2557" width="4.5703125" style="64" customWidth="1"/>
    <col min="2558" max="2558" width="23.42578125" style="64" customWidth="1"/>
    <col min="2559" max="2559" width="7.7109375" style="64" customWidth="1"/>
    <col min="2560" max="2560" width="9.28515625" style="64" customWidth="1"/>
    <col min="2561" max="2562" width="7.28515625" style="64" customWidth="1"/>
    <col min="2563" max="2563" width="9.85546875" style="64" customWidth="1"/>
    <col min="2564" max="2564" width="5.85546875" style="64" customWidth="1"/>
    <col min="2565" max="2565" width="6.28515625" style="64" customWidth="1"/>
    <col min="2566" max="2566" width="8" style="64" customWidth="1"/>
    <col min="2567" max="2567" width="9.5703125" style="64" customWidth="1"/>
    <col min="2568" max="2568" width="11.42578125" style="64" customWidth="1"/>
    <col min="2569" max="2569" width="10.42578125" style="64" customWidth="1"/>
    <col min="2570" max="2570" width="11.85546875" style="64" customWidth="1"/>
    <col min="2571" max="2571" width="12" style="64" customWidth="1"/>
    <col min="2572" max="2573" width="0" style="64" hidden="1" customWidth="1"/>
    <col min="2574" max="2574" width="11.7109375" style="64" customWidth="1"/>
    <col min="2575" max="2812" width="8.85546875" style="64"/>
    <col min="2813" max="2813" width="4.5703125" style="64" customWidth="1"/>
    <col min="2814" max="2814" width="23.42578125" style="64" customWidth="1"/>
    <col min="2815" max="2815" width="7.7109375" style="64" customWidth="1"/>
    <col min="2816" max="2816" width="9.28515625" style="64" customWidth="1"/>
    <col min="2817" max="2818" width="7.28515625" style="64" customWidth="1"/>
    <col min="2819" max="2819" width="9.85546875" style="64" customWidth="1"/>
    <col min="2820" max="2820" width="5.85546875" style="64" customWidth="1"/>
    <col min="2821" max="2821" width="6.28515625" style="64" customWidth="1"/>
    <col min="2822" max="2822" width="8" style="64" customWidth="1"/>
    <col min="2823" max="2823" width="9.5703125" style="64" customWidth="1"/>
    <col min="2824" max="2824" width="11.42578125" style="64" customWidth="1"/>
    <col min="2825" max="2825" width="10.42578125" style="64" customWidth="1"/>
    <col min="2826" max="2826" width="11.85546875" style="64" customWidth="1"/>
    <col min="2827" max="2827" width="12" style="64" customWidth="1"/>
    <col min="2828" max="2829" width="0" style="64" hidden="1" customWidth="1"/>
    <col min="2830" max="2830" width="11.7109375" style="64" customWidth="1"/>
    <col min="2831" max="3068" width="8.85546875" style="64"/>
    <col min="3069" max="3069" width="4.5703125" style="64" customWidth="1"/>
    <col min="3070" max="3070" width="23.42578125" style="64" customWidth="1"/>
    <col min="3071" max="3071" width="7.7109375" style="64" customWidth="1"/>
    <col min="3072" max="3072" width="9.28515625" style="64" customWidth="1"/>
    <col min="3073" max="3074" width="7.28515625" style="64" customWidth="1"/>
    <col min="3075" max="3075" width="9.85546875" style="64" customWidth="1"/>
    <col min="3076" max="3076" width="5.85546875" style="64" customWidth="1"/>
    <col min="3077" max="3077" width="6.28515625" style="64" customWidth="1"/>
    <col min="3078" max="3078" width="8" style="64" customWidth="1"/>
    <col min="3079" max="3079" width="9.5703125" style="64" customWidth="1"/>
    <col min="3080" max="3080" width="11.42578125" style="64" customWidth="1"/>
    <col min="3081" max="3081" width="10.42578125" style="64" customWidth="1"/>
    <col min="3082" max="3082" width="11.85546875" style="64" customWidth="1"/>
    <col min="3083" max="3083" width="12" style="64" customWidth="1"/>
    <col min="3084" max="3085" width="0" style="64" hidden="1" customWidth="1"/>
    <col min="3086" max="3086" width="11.7109375" style="64" customWidth="1"/>
    <col min="3087" max="3324" width="8.85546875" style="64"/>
    <col min="3325" max="3325" width="4.5703125" style="64" customWidth="1"/>
    <col min="3326" max="3326" width="23.42578125" style="64" customWidth="1"/>
    <col min="3327" max="3327" width="7.7109375" style="64" customWidth="1"/>
    <col min="3328" max="3328" width="9.28515625" style="64" customWidth="1"/>
    <col min="3329" max="3330" width="7.28515625" style="64" customWidth="1"/>
    <col min="3331" max="3331" width="9.85546875" style="64" customWidth="1"/>
    <col min="3332" max="3332" width="5.85546875" style="64" customWidth="1"/>
    <col min="3333" max="3333" width="6.28515625" style="64" customWidth="1"/>
    <col min="3334" max="3334" width="8" style="64" customWidth="1"/>
    <col min="3335" max="3335" width="9.5703125" style="64" customWidth="1"/>
    <col min="3336" max="3336" width="11.42578125" style="64" customWidth="1"/>
    <col min="3337" max="3337" width="10.42578125" style="64" customWidth="1"/>
    <col min="3338" max="3338" width="11.85546875" style="64" customWidth="1"/>
    <col min="3339" max="3339" width="12" style="64" customWidth="1"/>
    <col min="3340" max="3341" width="0" style="64" hidden="1" customWidth="1"/>
    <col min="3342" max="3342" width="11.7109375" style="64" customWidth="1"/>
    <col min="3343" max="3580" width="8.85546875" style="64"/>
    <col min="3581" max="3581" width="4.5703125" style="64" customWidth="1"/>
    <col min="3582" max="3582" width="23.42578125" style="64" customWidth="1"/>
    <col min="3583" max="3583" width="7.7109375" style="64" customWidth="1"/>
    <col min="3584" max="3584" width="9.28515625" style="64" customWidth="1"/>
    <col min="3585" max="3586" width="7.28515625" style="64" customWidth="1"/>
    <col min="3587" max="3587" width="9.85546875" style="64" customWidth="1"/>
    <col min="3588" max="3588" width="5.85546875" style="64" customWidth="1"/>
    <col min="3589" max="3589" width="6.28515625" style="64" customWidth="1"/>
    <col min="3590" max="3590" width="8" style="64" customWidth="1"/>
    <col min="3591" max="3591" width="9.5703125" style="64" customWidth="1"/>
    <col min="3592" max="3592" width="11.42578125" style="64" customWidth="1"/>
    <col min="3593" max="3593" width="10.42578125" style="64" customWidth="1"/>
    <col min="3594" max="3594" width="11.85546875" style="64" customWidth="1"/>
    <col min="3595" max="3595" width="12" style="64" customWidth="1"/>
    <col min="3596" max="3597" width="0" style="64" hidden="1" customWidth="1"/>
    <col min="3598" max="3598" width="11.7109375" style="64" customWidth="1"/>
    <col min="3599" max="3836" width="8.85546875" style="64"/>
    <col min="3837" max="3837" width="4.5703125" style="64" customWidth="1"/>
    <col min="3838" max="3838" width="23.42578125" style="64" customWidth="1"/>
    <col min="3839" max="3839" width="7.7109375" style="64" customWidth="1"/>
    <col min="3840" max="3840" width="9.28515625" style="64" customWidth="1"/>
    <col min="3841" max="3842" width="7.28515625" style="64" customWidth="1"/>
    <col min="3843" max="3843" width="9.85546875" style="64" customWidth="1"/>
    <col min="3844" max="3844" width="5.85546875" style="64" customWidth="1"/>
    <col min="3845" max="3845" width="6.28515625" style="64" customWidth="1"/>
    <col min="3846" max="3846" width="8" style="64" customWidth="1"/>
    <col min="3847" max="3847" width="9.5703125" style="64" customWidth="1"/>
    <col min="3848" max="3848" width="11.42578125" style="64" customWidth="1"/>
    <col min="3849" max="3849" width="10.42578125" style="64" customWidth="1"/>
    <col min="3850" max="3850" width="11.85546875" style="64" customWidth="1"/>
    <col min="3851" max="3851" width="12" style="64" customWidth="1"/>
    <col min="3852" max="3853" width="0" style="64" hidden="1" customWidth="1"/>
    <col min="3854" max="3854" width="11.7109375" style="64" customWidth="1"/>
    <col min="3855" max="4092" width="8.85546875" style="64"/>
    <col min="4093" max="4093" width="4.5703125" style="64" customWidth="1"/>
    <col min="4094" max="4094" width="23.42578125" style="64" customWidth="1"/>
    <col min="4095" max="4095" width="7.7109375" style="64" customWidth="1"/>
    <col min="4096" max="4096" width="9.28515625" style="64" customWidth="1"/>
    <col min="4097" max="4098" width="7.28515625" style="64" customWidth="1"/>
    <col min="4099" max="4099" width="9.85546875" style="64" customWidth="1"/>
    <col min="4100" max="4100" width="5.85546875" style="64" customWidth="1"/>
    <col min="4101" max="4101" width="6.28515625" style="64" customWidth="1"/>
    <col min="4102" max="4102" width="8" style="64" customWidth="1"/>
    <col min="4103" max="4103" width="9.5703125" style="64" customWidth="1"/>
    <col min="4104" max="4104" width="11.42578125" style="64" customWidth="1"/>
    <col min="4105" max="4105" width="10.42578125" style="64" customWidth="1"/>
    <col min="4106" max="4106" width="11.85546875" style="64" customWidth="1"/>
    <col min="4107" max="4107" width="12" style="64" customWidth="1"/>
    <col min="4108" max="4109" width="0" style="64" hidden="1" customWidth="1"/>
    <col min="4110" max="4110" width="11.7109375" style="64" customWidth="1"/>
    <col min="4111" max="4348" width="8.85546875" style="64"/>
    <col min="4349" max="4349" width="4.5703125" style="64" customWidth="1"/>
    <col min="4350" max="4350" width="23.42578125" style="64" customWidth="1"/>
    <col min="4351" max="4351" width="7.7109375" style="64" customWidth="1"/>
    <col min="4352" max="4352" width="9.28515625" style="64" customWidth="1"/>
    <col min="4353" max="4354" width="7.28515625" style="64" customWidth="1"/>
    <col min="4355" max="4355" width="9.85546875" style="64" customWidth="1"/>
    <col min="4356" max="4356" width="5.85546875" style="64" customWidth="1"/>
    <col min="4357" max="4357" width="6.28515625" style="64" customWidth="1"/>
    <col min="4358" max="4358" width="8" style="64" customWidth="1"/>
    <col min="4359" max="4359" width="9.5703125" style="64" customWidth="1"/>
    <col min="4360" max="4360" width="11.42578125" style="64" customWidth="1"/>
    <col min="4361" max="4361" width="10.42578125" style="64" customWidth="1"/>
    <col min="4362" max="4362" width="11.85546875" style="64" customWidth="1"/>
    <col min="4363" max="4363" width="12" style="64" customWidth="1"/>
    <col min="4364" max="4365" width="0" style="64" hidden="1" customWidth="1"/>
    <col min="4366" max="4366" width="11.7109375" style="64" customWidth="1"/>
    <col min="4367" max="4604" width="8.85546875" style="64"/>
    <col min="4605" max="4605" width="4.5703125" style="64" customWidth="1"/>
    <col min="4606" max="4606" width="23.42578125" style="64" customWidth="1"/>
    <col min="4607" max="4607" width="7.7109375" style="64" customWidth="1"/>
    <col min="4608" max="4608" width="9.28515625" style="64" customWidth="1"/>
    <col min="4609" max="4610" width="7.28515625" style="64" customWidth="1"/>
    <col min="4611" max="4611" width="9.85546875" style="64" customWidth="1"/>
    <col min="4612" max="4612" width="5.85546875" style="64" customWidth="1"/>
    <col min="4613" max="4613" width="6.28515625" style="64" customWidth="1"/>
    <col min="4614" max="4614" width="8" style="64" customWidth="1"/>
    <col min="4615" max="4615" width="9.5703125" style="64" customWidth="1"/>
    <col min="4616" max="4616" width="11.42578125" style="64" customWidth="1"/>
    <col min="4617" max="4617" width="10.42578125" style="64" customWidth="1"/>
    <col min="4618" max="4618" width="11.85546875" style="64" customWidth="1"/>
    <col min="4619" max="4619" width="12" style="64" customWidth="1"/>
    <col min="4620" max="4621" width="0" style="64" hidden="1" customWidth="1"/>
    <col min="4622" max="4622" width="11.7109375" style="64" customWidth="1"/>
    <col min="4623" max="4860" width="8.85546875" style="64"/>
    <col min="4861" max="4861" width="4.5703125" style="64" customWidth="1"/>
    <col min="4862" max="4862" width="23.42578125" style="64" customWidth="1"/>
    <col min="4863" max="4863" width="7.7109375" style="64" customWidth="1"/>
    <col min="4864" max="4864" width="9.28515625" style="64" customWidth="1"/>
    <col min="4865" max="4866" width="7.28515625" style="64" customWidth="1"/>
    <col min="4867" max="4867" width="9.85546875" style="64" customWidth="1"/>
    <col min="4868" max="4868" width="5.85546875" style="64" customWidth="1"/>
    <col min="4869" max="4869" width="6.28515625" style="64" customWidth="1"/>
    <col min="4870" max="4870" width="8" style="64" customWidth="1"/>
    <col min="4871" max="4871" width="9.5703125" style="64" customWidth="1"/>
    <col min="4872" max="4872" width="11.42578125" style="64" customWidth="1"/>
    <col min="4873" max="4873" width="10.42578125" style="64" customWidth="1"/>
    <col min="4874" max="4874" width="11.85546875" style="64" customWidth="1"/>
    <col min="4875" max="4875" width="12" style="64" customWidth="1"/>
    <col min="4876" max="4877" width="0" style="64" hidden="1" customWidth="1"/>
    <col min="4878" max="4878" width="11.7109375" style="64" customWidth="1"/>
    <col min="4879" max="5116" width="8.85546875" style="64"/>
    <col min="5117" max="5117" width="4.5703125" style="64" customWidth="1"/>
    <col min="5118" max="5118" width="23.42578125" style="64" customWidth="1"/>
    <col min="5119" max="5119" width="7.7109375" style="64" customWidth="1"/>
    <col min="5120" max="5120" width="9.28515625" style="64" customWidth="1"/>
    <col min="5121" max="5122" width="7.28515625" style="64" customWidth="1"/>
    <col min="5123" max="5123" width="9.85546875" style="64" customWidth="1"/>
    <col min="5124" max="5124" width="5.85546875" style="64" customWidth="1"/>
    <col min="5125" max="5125" width="6.28515625" style="64" customWidth="1"/>
    <col min="5126" max="5126" width="8" style="64" customWidth="1"/>
    <col min="5127" max="5127" width="9.5703125" style="64" customWidth="1"/>
    <col min="5128" max="5128" width="11.42578125" style="64" customWidth="1"/>
    <col min="5129" max="5129" width="10.42578125" style="64" customWidth="1"/>
    <col min="5130" max="5130" width="11.85546875" style="64" customWidth="1"/>
    <col min="5131" max="5131" width="12" style="64" customWidth="1"/>
    <col min="5132" max="5133" width="0" style="64" hidden="1" customWidth="1"/>
    <col min="5134" max="5134" width="11.7109375" style="64" customWidth="1"/>
    <col min="5135" max="5372" width="8.85546875" style="64"/>
    <col min="5373" max="5373" width="4.5703125" style="64" customWidth="1"/>
    <col min="5374" max="5374" width="23.42578125" style="64" customWidth="1"/>
    <col min="5375" max="5375" width="7.7109375" style="64" customWidth="1"/>
    <col min="5376" max="5376" width="9.28515625" style="64" customWidth="1"/>
    <col min="5377" max="5378" width="7.28515625" style="64" customWidth="1"/>
    <col min="5379" max="5379" width="9.85546875" style="64" customWidth="1"/>
    <col min="5380" max="5380" width="5.85546875" style="64" customWidth="1"/>
    <col min="5381" max="5381" width="6.28515625" style="64" customWidth="1"/>
    <col min="5382" max="5382" width="8" style="64" customWidth="1"/>
    <col min="5383" max="5383" width="9.5703125" style="64" customWidth="1"/>
    <col min="5384" max="5384" width="11.42578125" style="64" customWidth="1"/>
    <col min="5385" max="5385" width="10.42578125" style="64" customWidth="1"/>
    <col min="5386" max="5386" width="11.85546875" style="64" customWidth="1"/>
    <col min="5387" max="5387" width="12" style="64" customWidth="1"/>
    <col min="5388" max="5389" width="0" style="64" hidden="1" customWidth="1"/>
    <col min="5390" max="5390" width="11.7109375" style="64" customWidth="1"/>
    <col min="5391" max="5628" width="8.85546875" style="64"/>
    <col min="5629" max="5629" width="4.5703125" style="64" customWidth="1"/>
    <col min="5630" max="5630" width="23.42578125" style="64" customWidth="1"/>
    <col min="5631" max="5631" width="7.7109375" style="64" customWidth="1"/>
    <col min="5632" max="5632" width="9.28515625" style="64" customWidth="1"/>
    <col min="5633" max="5634" width="7.28515625" style="64" customWidth="1"/>
    <col min="5635" max="5635" width="9.85546875" style="64" customWidth="1"/>
    <col min="5636" max="5636" width="5.85546875" style="64" customWidth="1"/>
    <col min="5637" max="5637" width="6.28515625" style="64" customWidth="1"/>
    <col min="5638" max="5638" width="8" style="64" customWidth="1"/>
    <col min="5639" max="5639" width="9.5703125" style="64" customWidth="1"/>
    <col min="5640" max="5640" width="11.42578125" style="64" customWidth="1"/>
    <col min="5641" max="5641" width="10.42578125" style="64" customWidth="1"/>
    <col min="5642" max="5642" width="11.85546875" style="64" customWidth="1"/>
    <col min="5643" max="5643" width="12" style="64" customWidth="1"/>
    <col min="5644" max="5645" width="0" style="64" hidden="1" customWidth="1"/>
    <col min="5646" max="5646" width="11.7109375" style="64" customWidth="1"/>
    <col min="5647" max="5884" width="8.85546875" style="64"/>
    <col min="5885" max="5885" width="4.5703125" style="64" customWidth="1"/>
    <col min="5886" max="5886" width="23.42578125" style="64" customWidth="1"/>
    <col min="5887" max="5887" width="7.7109375" style="64" customWidth="1"/>
    <col min="5888" max="5888" width="9.28515625" style="64" customWidth="1"/>
    <col min="5889" max="5890" width="7.28515625" style="64" customWidth="1"/>
    <col min="5891" max="5891" width="9.85546875" style="64" customWidth="1"/>
    <col min="5892" max="5892" width="5.85546875" style="64" customWidth="1"/>
    <col min="5893" max="5893" width="6.28515625" style="64" customWidth="1"/>
    <col min="5894" max="5894" width="8" style="64" customWidth="1"/>
    <col min="5895" max="5895" width="9.5703125" style="64" customWidth="1"/>
    <col min="5896" max="5896" width="11.42578125" style="64" customWidth="1"/>
    <col min="5897" max="5897" width="10.42578125" style="64" customWidth="1"/>
    <col min="5898" max="5898" width="11.85546875" style="64" customWidth="1"/>
    <col min="5899" max="5899" width="12" style="64" customWidth="1"/>
    <col min="5900" max="5901" width="0" style="64" hidden="1" customWidth="1"/>
    <col min="5902" max="5902" width="11.7109375" style="64" customWidth="1"/>
    <col min="5903" max="6140" width="8.85546875" style="64"/>
    <col min="6141" max="6141" width="4.5703125" style="64" customWidth="1"/>
    <col min="6142" max="6142" width="23.42578125" style="64" customWidth="1"/>
    <col min="6143" max="6143" width="7.7109375" style="64" customWidth="1"/>
    <col min="6144" max="6144" width="9.28515625" style="64" customWidth="1"/>
    <col min="6145" max="6146" width="7.28515625" style="64" customWidth="1"/>
    <col min="6147" max="6147" width="9.85546875" style="64" customWidth="1"/>
    <col min="6148" max="6148" width="5.85546875" style="64" customWidth="1"/>
    <col min="6149" max="6149" width="6.28515625" style="64" customWidth="1"/>
    <col min="6150" max="6150" width="8" style="64" customWidth="1"/>
    <col min="6151" max="6151" width="9.5703125" style="64" customWidth="1"/>
    <col min="6152" max="6152" width="11.42578125" style="64" customWidth="1"/>
    <col min="6153" max="6153" width="10.42578125" style="64" customWidth="1"/>
    <col min="6154" max="6154" width="11.85546875" style="64" customWidth="1"/>
    <col min="6155" max="6155" width="12" style="64" customWidth="1"/>
    <col min="6156" max="6157" width="0" style="64" hidden="1" customWidth="1"/>
    <col min="6158" max="6158" width="11.7109375" style="64" customWidth="1"/>
    <col min="6159" max="6396" width="8.85546875" style="64"/>
    <col min="6397" max="6397" width="4.5703125" style="64" customWidth="1"/>
    <col min="6398" max="6398" width="23.42578125" style="64" customWidth="1"/>
    <col min="6399" max="6399" width="7.7109375" style="64" customWidth="1"/>
    <col min="6400" max="6400" width="9.28515625" style="64" customWidth="1"/>
    <col min="6401" max="6402" width="7.28515625" style="64" customWidth="1"/>
    <col min="6403" max="6403" width="9.85546875" style="64" customWidth="1"/>
    <col min="6404" max="6404" width="5.85546875" style="64" customWidth="1"/>
    <col min="6405" max="6405" width="6.28515625" style="64" customWidth="1"/>
    <col min="6406" max="6406" width="8" style="64" customWidth="1"/>
    <col min="6407" max="6407" width="9.5703125" style="64" customWidth="1"/>
    <col min="6408" max="6408" width="11.42578125" style="64" customWidth="1"/>
    <col min="6409" max="6409" width="10.42578125" style="64" customWidth="1"/>
    <col min="6410" max="6410" width="11.85546875" style="64" customWidth="1"/>
    <col min="6411" max="6411" width="12" style="64" customWidth="1"/>
    <col min="6412" max="6413" width="0" style="64" hidden="1" customWidth="1"/>
    <col min="6414" max="6414" width="11.7109375" style="64" customWidth="1"/>
    <col min="6415" max="6652" width="8.85546875" style="64"/>
    <col min="6653" max="6653" width="4.5703125" style="64" customWidth="1"/>
    <col min="6654" max="6654" width="23.42578125" style="64" customWidth="1"/>
    <col min="6655" max="6655" width="7.7109375" style="64" customWidth="1"/>
    <col min="6656" max="6656" width="9.28515625" style="64" customWidth="1"/>
    <col min="6657" max="6658" width="7.28515625" style="64" customWidth="1"/>
    <col min="6659" max="6659" width="9.85546875" style="64" customWidth="1"/>
    <col min="6660" max="6660" width="5.85546875" style="64" customWidth="1"/>
    <col min="6661" max="6661" width="6.28515625" style="64" customWidth="1"/>
    <col min="6662" max="6662" width="8" style="64" customWidth="1"/>
    <col min="6663" max="6663" width="9.5703125" style="64" customWidth="1"/>
    <col min="6664" max="6664" width="11.42578125" style="64" customWidth="1"/>
    <col min="6665" max="6665" width="10.42578125" style="64" customWidth="1"/>
    <col min="6666" max="6666" width="11.85546875" style="64" customWidth="1"/>
    <col min="6667" max="6667" width="12" style="64" customWidth="1"/>
    <col min="6668" max="6669" width="0" style="64" hidden="1" customWidth="1"/>
    <col min="6670" max="6670" width="11.7109375" style="64" customWidth="1"/>
    <col min="6671" max="6908" width="8.85546875" style="64"/>
    <col min="6909" max="6909" width="4.5703125" style="64" customWidth="1"/>
    <col min="6910" max="6910" width="23.42578125" style="64" customWidth="1"/>
    <col min="6911" max="6911" width="7.7109375" style="64" customWidth="1"/>
    <col min="6912" max="6912" width="9.28515625" style="64" customWidth="1"/>
    <col min="6913" max="6914" width="7.28515625" style="64" customWidth="1"/>
    <col min="6915" max="6915" width="9.85546875" style="64" customWidth="1"/>
    <col min="6916" max="6916" width="5.85546875" style="64" customWidth="1"/>
    <col min="6917" max="6917" width="6.28515625" style="64" customWidth="1"/>
    <col min="6918" max="6918" width="8" style="64" customWidth="1"/>
    <col min="6919" max="6919" width="9.5703125" style="64" customWidth="1"/>
    <col min="6920" max="6920" width="11.42578125" style="64" customWidth="1"/>
    <col min="6921" max="6921" width="10.42578125" style="64" customWidth="1"/>
    <col min="6922" max="6922" width="11.85546875" style="64" customWidth="1"/>
    <col min="6923" max="6923" width="12" style="64" customWidth="1"/>
    <col min="6924" max="6925" width="0" style="64" hidden="1" customWidth="1"/>
    <col min="6926" max="6926" width="11.7109375" style="64" customWidth="1"/>
    <col min="6927" max="7164" width="8.85546875" style="64"/>
    <col min="7165" max="7165" width="4.5703125" style="64" customWidth="1"/>
    <col min="7166" max="7166" width="23.42578125" style="64" customWidth="1"/>
    <col min="7167" max="7167" width="7.7109375" style="64" customWidth="1"/>
    <col min="7168" max="7168" width="9.28515625" style="64" customWidth="1"/>
    <col min="7169" max="7170" width="7.28515625" style="64" customWidth="1"/>
    <col min="7171" max="7171" width="9.85546875" style="64" customWidth="1"/>
    <col min="7172" max="7172" width="5.85546875" style="64" customWidth="1"/>
    <col min="7173" max="7173" width="6.28515625" style="64" customWidth="1"/>
    <col min="7174" max="7174" width="8" style="64" customWidth="1"/>
    <col min="7175" max="7175" width="9.5703125" style="64" customWidth="1"/>
    <col min="7176" max="7176" width="11.42578125" style="64" customWidth="1"/>
    <col min="7177" max="7177" width="10.42578125" style="64" customWidth="1"/>
    <col min="7178" max="7178" width="11.85546875" style="64" customWidth="1"/>
    <col min="7179" max="7179" width="12" style="64" customWidth="1"/>
    <col min="7180" max="7181" width="0" style="64" hidden="1" customWidth="1"/>
    <col min="7182" max="7182" width="11.7109375" style="64" customWidth="1"/>
    <col min="7183" max="7420" width="8.85546875" style="64"/>
    <col min="7421" max="7421" width="4.5703125" style="64" customWidth="1"/>
    <col min="7422" max="7422" width="23.42578125" style="64" customWidth="1"/>
    <col min="7423" max="7423" width="7.7109375" style="64" customWidth="1"/>
    <col min="7424" max="7424" width="9.28515625" style="64" customWidth="1"/>
    <col min="7425" max="7426" width="7.28515625" style="64" customWidth="1"/>
    <col min="7427" max="7427" width="9.85546875" style="64" customWidth="1"/>
    <col min="7428" max="7428" width="5.85546875" style="64" customWidth="1"/>
    <col min="7429" max="7429" width="6.28515625" style="64" customWidth="1"/>
    <col min="7430" max="7430" width="8" style="64" customWidth="1"/>
    <col min="7431" max="7431" width="9.5703125" style="64" customWidth="1"/>
    <col min="7432" max="7432" width="11.42578125" style="64" customWidth="1"/>
    <col min="7433" max="7433" width="10.42578125" style="64" customWidth="1"/>
    <col min="7434" max="7434" width="11.85546875" style="64" customWidth="1"/>
    <col min="7435" max="7435" width="12" style="64" customWidth="1"/>
    <col min="7436" max="7437" width="0" style="64" hidden="1" customWidth="1"/>
    <col min="7438" max="7438" width="11.7109375" style="64" customWidth="1"/>
    <col min="7439" max="7676" width="8.85546875" style="64"/>
    <col min="7677" max="7677" width="4.5703125" style="64" customWidth="1"/>
    <col min="7678" max="7678" width="23.42578125" style="64" customWidth="1"/>
    <col min="7679" max="7679" width="7.7109375" style="64" customWidth="1"/>
    <col min="7680" max="7680" width="9.28515625" style="64" customWidth="1"/>
    <col min="7681" max="7682" width="7.28515625" style="64" customWidth="1"/>
    <col min="7683" max="7683" width="9.85546875" style="64" customWidth="1"/>
    <col min="7684" max="7684" width="5.85546875" style="64" customWidth="1"/>
    <col min="7685" max="7685" width="6.28515625" style="64" customWidth="1"/>
    <col min="7686" max="7686" width="8" style="64" customWidth="1"/>
    <col min="7687" max="7687" width="9.5703125" style="64" customWidth="1"/>
    <col min="7688" max="7688" width="11.42578125" style="64" customWidth="1"/>
    <col min="7689" max="7689" width="10.42578125" style="64" customWidth="1"/>
    <col min="7690" max="7690" width="11.85546875" style="64" customWidth="1"/>
    <col min="7691" max="7691" width="12" style="64" customWidth="1"/>
    <col min="7692" max="7693" width="0" style="64" hidden="1" customWidth="1"/>
    <col min="7694" max="7694" width="11.7109375" style="64" customWidth="1"/>
    <col min="7695" max="7932" width="8.85546875" style="64"/>
    <col min="7933" max="7933" width="4.5703125" style="64" customWidth="1"/>
    <col min="7934" max="7934" width="23.42578125" style="64" customWidth="1"/>
    <col min="7935" max="7935" width="7.7109375" style="64" customWidth="1"/>
    <col min="7936" max="7936" width="9.28515625" style="64" customWidth="1"/>
    <col min="7937" max="7938" width="7.28515625" style="64" customWidth="1"/>
    <col min="7939" max="7939" width="9.85546875" style="64" customWidth="1"/>
    <col min="7940" max="7940" width="5.85546875" style="64" customWidth="1"/>
    <col min="7941" max="7941" width="6.28515625" style="64" customWidth="1"/>
    <col min="7942" max="7942" width="8" style="64" customWidth="1"/>
    <col min="7943" max="7943" width="9.5703125" style="64" customWidth="1"/>
    <col min="7944" max="7944" width="11.42578125" style="64" customWidth="1"/>
    <col min="7945" max="7945" width="10.42578125" style="64" customWidth="1"/>
    <col min="7946" max="7946" width="11.85546875" style="64" customWidth="1"/>
    <col min="7947" max="7947" width="12" style="64" customWidth="1"/>
    <col min="7948" max="7949" width="0" style="64" hidden="1" customWidth="1"/>
    <col min="7950" max="7950" width="11.7109375" style="64" customWidth="1"/>
    <col min="7951" max="8188" width="8.85546875" style="64"/>
    <col min="8189" max="8189" width="4.5703125" style="64" customWidth="1"/>
    <col min="8190" max="8190" width="23.42578125" style="64" customWidth="1"/>
    <col min="8191" max="8191" width="7.7109375" style="64" customWidth="1"/>
    <col min="8192" max="8192" width="9.28515625" style="64" customWidth="1"/>
    <col min="8193" max="8194" width="7.28515625" style="64" customWidth="1"/>
    <col min="8195" max="8195" width="9.85546875" style="64" customWidth="1"/>
    <col min="8196" max="8196" width="5.85546875" style="64" customWidth="1"/>
    <col min="8197" max="8197" width="6.28515625" style="64" customWidth="1"/>
    <col min="8198" max="8198" width="8" style="64" customWidth="1"/>
    <col min="8199" max="8199" width="9.5703125" style="64" customWidth="1"/>
    <col min="8200" max="8200" width="11.42578125" style="64" customWidth="1"/>
    <col min="8201" max="8201" width="10.42578125" style="64" customWidth="1"/>
    <col min="8202" max="8202" width="11.85546875" style="64" customWidth="1"/>
    <col min="8203" max="8203" width="12" style="64" customWidth="1"/>
    <col min="8204" max="8205" width="0" style="64" hidden="1" customWidth="1"/>
    <col min="8206" max="8206" width="11.7109375" style="64" customWidth="1"/>
    <col min="8207" max="8444" width="8.85546875" style="64"/>
    <col min="8445" max="8445" width="4.5703125" style="64" customWidth="1"/>
    <col min="8446" max="8446" width="23.42578125" style="64" customWidth="1"/>
    <col min="8447" max="8447" width="7.7109375" style="64" customWidth="1"/>
    <col min="8448" max="8448" width="9.28515625" style="64" customWidth="1"/>
    <col min="8449" max="8450" width="7.28515625" style="64" customWidth="1"/>
    <col min="8451" max="8451" width="9.85546875" style="64" customWidth="1"/>
    <col min="8452" max="8452" width="5.85546875" style="64" customWidth="1"/>
    <col min="8453" max="8453" width="6.28515625" style="64" customWidth="1"/>
    <col min="8454" max="8454" width="8" style="64" customWidth="1"/>
    <col min="8455" max="8455" width="9.5703125" style="64" customWidth="1"/>
    <col min="8456" max="8456" width="11.42578125" style="64" customWidth="1"/>
    <col min="8457" max="8457" width="10.42578125" style="64" customWidth="1"/>
    <col min="8458" max="8458" width="11.85546875" style="64" customWidth="1"/>
    <col min="8459" max="8459" width="12" style="64" customWidth="1"/>
    <col min="8460" max="8461" width="0" style="64" hidden="1" customWidth="1"/>
    <col min="8462" max="8462" width="11.7109375" style="64" customWidth="1"/>
    <col min="8463" max="8700" width="8.85546875" style="64"/>
    <col min="8701" max="8701" width="4.5703125" style="64" customWidth="1"/>
    <col min="8702" max="8702" width="23.42578125" style="64" customWidth="1"/>
    <col min="8703" max="8703" width="7.7109375" style="64" customWidth="1"/>
    <col min="8704" max="8704" width="9.28515625" style="64" customWidth="1"/>
    <col min="8705" max="8706" width="7.28515625" style="64" customWidth="1"/>
    <col min="8707" max="8707" width="9.85546875" style="64" customWidth="1"/>
    <col min="8708" max="8708" width="5.85546875" style="64" customWidth="1"/>
    <col min="8709" max="8709" width="6.28515625" style="64" customWidth="1"/>
    <col min="8710" max="8710" width="8" style="64" customWidth="1"/>
    <col min="8711" max="8711" width="9.5703125" style="64" customWidth="1"/>
    <col min="8712" max="8712" width="11.42578125" style="64" customWidth="1"/>
    <col min="8713" max="8713" width="10.42578125" style="64" customWidth="1"/>
    <col min="8714" max="8714" width="11.85546875" style="64" customWidth="1"/>
    <col min="8715" max="8715" width="12" style="64" customWidth="1"/>
    <col min="8716" max="8717" width="0" style="64" hidden="1" customWidth="1"/>
    <col min="8718" max="8718" width="11.7109375" style="64" customWidth="1"/>
    <col min="8719" max="8956" width="8.85546875" style="64"/>
    <col min="8957" max="8957" width="4.5703125" style="64" customWidth="1"/>
    <col min="8958" max="8958" width="23.42578125" style="64" customWidth="1"/>
    <col min="8959" max="8959" width="7.7109375" style="64" customWidth="1"/>
    <col min="8960" max="8960" width="9.28515625" style="64" customWidth="1"/>
    <col min="8961" max="8962" width="7.28515625" style="64" customWidth="1"/>
    <col min="8963" max="8963" width="9.85546875" style="64" customWidth="1"/>
    <col min="8964" max="8964" width="5.85546875" style="64" customWidth="1"/>
    <col min="8965" max="8965" width="6.28515625" style="64" customWidth="1"/>
    <col min="8966" max="8966" width="8" style="64" customWidth="1"/>
    <col min="8967" max="8967" width="9.5703125" style="64" customWidth="1"/>
    <col min="8968" max="8968" width="11.42578125" style="64" customWidth="1"/>
    <col min="8969" max="8969" width="10.42578125" style="64" customWidth="1"/>
    <col min="8970" max="8970" width="11.85546875" style="64" customWidth="1"/>
    <col min="8971" max="8971" width="12" style="64" customWidth="1"/>
    <col min="8972" max="8973" width="0" style="64" hidden="1" customWidth="1"/>
    <col min="8974" max="8974" width="11.7109375" style="64" customWidth="1"/>
    <col min="8975" max="9212" width="8.85546875" style="64"/>
    <col min="9213" max="9213" width="4.5703125" style="64" customWidth="1"/>
    <col min="9214" max="9214" width="23.42578125" style="64" customWidth="1"/>
    <col min="9215" max="9215" width="7.7109375" style="64" customWidth="1"/>
    <col min="9216" max="9216" width="9.28515625" style="64" customWidth="1"/>
    <col min="9217" max="9218" width="7.28515625" style="64" customWidth="1"/>
    <col min="9219" max="9219" width="9.85546875" style="64" customWidth="1"/>
    <col min="9220" max="9220" width="5.85546875" style="64" customWidth="1"/>
    <col min="9221" max="9221" width="6.28515625" style="64" customWidth="1"/>
    <col min="9222" max="9222" width="8" style="64" customWidth="1"/>
    <col min="9223" max="9223" width="9.5703125" style="64" customWidth="1"/>
    <col min="9224" max="9224" width="11.42578125" style="64" customWidth="1"/>
    <col min="9225" max="9225" width="10.42578125" style="64" customWidth="1"/>
    <col min="9226" max="9226" width="11.85546875" style="64" customWidth="1"/>
    <col min="9227" max="9227" width="12" style="64" customWidth="1"/>
    <col min="9228" max="9229" width="0" style="64" hidden="1" customWidth="1"/>
    <col min="9230" max="9230" width="11.7109375" style="64" customWidth="1"/>
    <col min="9231" max="9468" width="8.85546875" style="64"/>
    <col min="9469" max="9469" width="4.5703125" style="64" customWidth="1"/>
    <col min="9470" max="9470" width="23.42578125" style="64" customWidth="1"/>
    <col min="9471" max="9471" width="7.7109375" style="64" customWidth="1"/>
    <col min="9472" max="9472" width="9.28515625" style="64" customWidth="1"/>
    <col min="9473" max="9474" width="7.28515625" style="64" customWidth="1"/>
    <col min="9475" max="9475" width="9.85546875" style="64" customWidth="1"/>
    <col min="9476" max="9476" width="5.85546875" style="64" customWidth="1"/>
    <col min="9477" max="9477" width="6.28515625" style="64" customWidth="1"/>
    <col min="9478" max="9478" width="8" style="64" customWidth="1"/>
    <col min="9479" max="9479" width="9.5703125" style="64" customWidth="1"/>
    <col min="9480" max="9480" width="11.42578125" style="64" customWidth="1"/>
    <col min="9481" max="9481" width="10.42578125" style="64" customWidth="1"/>
    <col min="9482" max="9482" width="11.85546875" style="64" customWidth="1"/>
    <col min="9483" max="9483" width="12" style="64" customWidth="1"/>
    <col min="9484" max="9485" width="0" style="64" hidden="1" customWidth="1"/>
    <col min="9486" max="9486" width="11.7109375" style="64" customWidth="1"/>
    <col min="9487" max="9724" width="8.85546875" style="64"/>
    <col min="9725" max="9725" width="4.5703125" style="64" customWidth="1"/>
    <col min="9726" max="9726" width="23.42578125" style="64" customWidth="1"/>
    <col min="9727" max="9727" width="7.7109375" style="64" customWidth="1"/>
    <col min="9728" max="9728" width="9.28515625" style="64" customWidth="1"/>
    <col min="9729" max="9730" width="7.28515625" style="64" customWidth="1"/>
    <col min="9731" max="9731" width="9.85546875" style="64" customWidth="1"/>
    <col min="9732" max="9732" width="5.85546875" style="64" customWidth="1"/>
    <col min="9733" max="9733" width="6.28515625" style="64" customWidth="1"/>
    <col min="9734" max="9734" width="8" style="64" customWidth="1"/>
    <col min="9735" max="9735" width="9.5703125" style="64" customWidth="1"/>
    <col min="9736" max="9736" width="11.42578125" style="64" customWidth="1"/>
    <col min="9737" max="9737" width="10.42578125" style="64" customWidth="1"/>
    <col min="9738" max="9738" width="11.85546875" style="64" customWidth="1"/>
    <col min="9739" max="9739" width="12" style="64" customWidth="1"/>
    <col min="9740" max="9741" width="0" style="64" hidden="1" customWidth="1"/>
    <col min="9742" max="9742" width="11.7109375" style="64" customWidth="1"/>
    <col min="9743" max="9980" width="8.85546875" style="64"/>
    <col min="9981" max="9981" width="4.5703125" style="64" customWidth="1"/>
    <col min="9982" max="9982" width="23.42578125" style="64" customWidth="1"/>
    <col min="9983" max="9983" width="7.7109375" style="64" customWidth="1"/>
    <col min="9984" max="9984" width="9.28515625" style="64" customWidth="1"/>
    <col min="9985" max="9986" width="7.28515625" style="64" customWidth="1"/>
    <col min="9987" max="9987" width="9.85546875" style="64" customWidth="1"/>
    <col min="9988" max="9988" width="5.85546875" style="64" customWidth="1"/>
    <col min="9989" max="9989" width="6.28515625" style="64" customWidth="1"/>
    <col min="9990" max="9990" width="8" style="64" customWidth="1"/>
    <col min="9991" max="9991" width="9.5703125" style="64" customWidth="1"/>
    <col min="9992" max="9992" width="11.42578125" style="64" customWidth="1"/>
    <col min="9993" max="9993" width="10.42578125" style="64" customWidth="1"/>
    <col min="9994" max="9994" width="11.85546875" style="64" customWidth="1"/>
    <col min="9995" max="9995" width="12" style="64" customWidth="1"/>
    <col min="9996" max="9997" width="0" style="64" hidden="1" customWidth="1"/>
    <col min="9998" max="9998" width="11.7109375" style="64" customWidth="1"/>
    <col min="9999" max="10236" width="8.85546875" style="64"/>
    <col min="10237" max="10237" width="4.5703125" style="64" customWidth="1"/>
    <col min="10238" max="10238" width="23.42578125" style="64" customWidth="1"/>
    <col min="10239" max="10239" width="7.7109375" style="64" customWidth="1"/>
    <col min="10240" max="10240" width="9.28515625" style="64" customWidth="1"/>
    <col min="10241" max="10242" width="7.28515625" style="64" customWidth="1"/>
    <col min="10243" max="10243" width="9.85546875" style="64" customWidth="1"/>
    <col min="10244" max="10244" width="5.85546875" style="64" customWidth="1"/>
    <col min="10245" max="10245" width="6.28515625" style="64" customWidth="1"/>
    <col min="10246" max="10246" width="8" style="64" customWidth="1"/>
    <col min="10247" max="10247" width="9.5703125" style="64" customWidth="1"/>
    <col min="10248" max="10248" width="11.42578125" style="64" customWidth="1"/>
    <col min="10249" max="10249" width="10.42578125" style="64" customWidth="1"/>
    <col min="10250" max="10250" width="11.85546875" style="64" customWidth="1"/>
    <col min="10251" max="10251" width="12" style="64" customWidth="1"/>
    <col min="10252" max="10253" width="0" style="64" hidden="1" customWidth="1"/>
    <col min="10254" max="10254" width="11.7109375" style="64" customWidth="1"/>
    <col min="10255" max="10492" width="8.85546875" style="64"/>
    <col min="10493" max="10493" width="4.5703125" style="64" customWidth="1"/>
    <col min="10494" max="10494" width="23.42578125" style="64" customWidth="1"/>
    <col min="10495" max="10495" width="7.7109375" style="64" customWidth="1"/>
    <col min="10496" max="10496" width="9.28515625" style="64" customWidth="1"/>
    <col min="10497" max="10498" width="7.28515625" style="64" customWidth="1"/>
    <col min="10499" max="10499" width="9.85546875" style="64" customWidth="1"/>
    <col min="10500" max="10500" width="5.85546875" style="64" customWidth="1"/>
    <col min="10501" max="10501" width="6.28515625" style="64" customWidth="1"/>
    <col min="10502" max="10502" width="8" style="64" customWidth="1"/>
    <col min="10503" max="10503" width="9.5703125" style="64" customWidth="1"/>
    <col min="10504" max="10504" width="11.42578125" style="64" customWidth="1"/>
    <col min="10505" max="10505" width="10.42578125" style="64" customWidth="1"/>
    <col min="10506" max="10506" width="11.85546875" style="64" customWidth="1"/>
    <col min="10507" max="10507" width="12" style="64" customWidth="1"/>
    <col min="10508" max="10509" width="0" style="64" hidden="1" customWidth="1"/>
    <col min="10510" max="10510" width="11.7109375" style="64" customWidth="1"/>
    <col min="10511" max="10748" width="8.85546875" style="64"/>
    <col min="10749" max="10749" width="4.5703125" style="64" customWidth="1"/>
    <col min="10750" max="10750" width="23.42578125" style="64" customWidth="1"/>
    <col min="10751" max="10751" width="7.7109375" style="64" customWidth="1"/>
    <col min="10752" max="10752" width="9.28515625" style="64" customWidth="1"/>
    <col min="10753" max="10754" width="7.28515625" style="64" customWidth="1"/>
    <col min="10755" max="10755" width="9.85546875" style="64" customWidth="1"/>
    <col min="10756" max="10756" width="5.85546875" style="64" customWidth="1"/>
    <col min="10757" max="10757" width="6.28515625" style="64" customWidth="1"/>
    <col min="10758" max="10758" width="8" style="64" customWidth="1"/>
    <col min="10759" max="10759" width="9.5703125" style="64" customWidth="1"/>
    <col min="10760" max="10760" width="11.42578125" style="64" customWidth="1"/>
    <col min="10761" max="10761" width="10.42578125" style="64" customWidth="1"/>
    <col min="10762" max="10762" width="11.85546875" style="64" customWidth="1"/>
    <col min="10763" max="10763" width="12" style="64" customWidth="1"/>
    <col min="10764" max="10765" width="0" style="64" hidden="1" customWidth="1"/>
    <col min="10766" max="10766" width="11.7109375" style="64" customWidth="1"/>
    <col min="10767" max="11004" width="8.85546875" style="64"/>
    <col min="11005" max="11005" width="4.5703125" style="64" customWidth="1"/>
    <col min="11006" max="11006" width="23.42578125" style="64" customWidth="1"/>
    <col min="11007" max="11007" width="7.7109375" style="64" customWidth="1"/>
    <col min="11008" max="11008" width="9.28515625" style="64" customWidth="1"/>
    <col min="11009" max="11010" width="7.28515625" style="64" customWidth="1"/>
    <col min="11011" max="11011" width="9.85546875" style="64" customWidth="1"/>
    <col min="11012" max="11012" width="5.85546875" style="64" customWidth="1"/>
    <col min="11013" max="11013" width="6.28515625" style="64" customWidth="1"/>
    <col min="11014" max="11014" width="8" style="64" customWidth="1"/>
    <col min="11015" max="11015" width="9.5703125" style="64" customWidth="1"/>
    <col min="11016" max="11016" width="11.42578125" style="64" customWidth="1"/>
    <col min="11017" max="11017" width="10.42578125" style="64" customWidth="1"/>
    <col min="11018" max="11018" width="11.85546875" style="64" customWidth="1"/>
    <col min="11019" max="11019" width="12" style="64" customWidth="1"/>
    <col min="11020" max="11021" width="0" style="64" hidden="1" customWidth="1"/>
    <col min="11022" max="11022" width="11.7109375" style="64" customWidth="1"/>
    <col min="11023" max="11260" width="8.85546875" style="64"/>
    <col min="11261" max="11261" width="4.5703125" style="64" customWidth="1"/>
    <col min="11262" max="11262" width="23.42578125" style="64" customWidth="1"/>
    <col min="11263" max="11263" width="7.7109375" style="64" customWidth="1"/>
    <col min="11264" max="11264" width="9.28515625" style="64" customWidth="1"/>
    <col min="11265" max="11266" width="7.28515625" style="64" customWidth="1"/>
    <col min="11267" max="11267" width="9.85546875" style="64" customWidth="1"/>
    <col min="11268" max="11268" width="5.85546875" style="64" customWidth="1"/>
    <col min="11269" max="11269" width="6.28515625" style="64" customWidth="1"/>
    <col min="11270" max="11270" width="8" style="64" customWidth="1"/>
    <col min="11271" max="11271" width="9.5703125" style="64" customWidth="1"/>
    <col min="11272" max="11272" width="11.42578125" style="64" customWidth="1"/>
    <col min="11273" max="11273" width="10.42578125" style="64" customWidth="1"/>
    <col min="11274" max="11274" width="11.85546875" style="64" customWidth="1"/>
    <col min="11275" max="11275" width="12" style="64" customWidth="1"/>
    <col min="11276" max="11277" width="0" style="64" hidden="1" customWidth="1"/>
    <col min="11278" max="11278" width="11.7109375" style="64" customWidth="1"/>
    <col min="11279" max="11516" width="8.85546875" style="64"/>
    <col min="11517" max="11517" width="4.5703125" style="64" customWidth="1"/>
    <col min="11518" max="11518" width="23.42578125" style="64" customWidth="1"/>
    <col min="11519" max="11519" width="7.7109375" style="64" customWidth="1"/>
    <col min="11520" max="11520" width="9.28515625" style="64" customWidth="1"/>
    <col min="11521" max="11522" width="7.28515625" style="64" customWidth="1"/>
    <col min="11523" max="11523" width="9.85546875" style="64" customWidth="1"/>
    <col min="11524" max="11524" width="5.85546875" style="64" customWidth="1"/>
    <col min="11525" max="11525" width="6.28515625" style="64" customWidth="1"/>
    <col min="11526" max="11526" width="8" style="64" customWidth="1"/>
    <col min="11527" max="11527" width="9.5703125" style="64" customWidth="1"/>
    <col min="11528" max="11528" width="11.42578125" style="64" customWidth="1"/>
    <col min="11529" max="11529" width="10.42578125" style="64" customWidth="1"/>
    <col min="11530" max="11530" width="11.85546875" style="64" customWidth="1"/>
    <col min="11531" max="11531" width="12" style="64" customWidth="1"/>
    <col min="11532" max="11533" width="0" style="64" hidden="1" customWidth="1"/>
    <col min="11534" max="11534" width="11.7109375" style="64" customWidth="1"/>
    <col min="11535" max="11772" width="8.85546875" style="64"/>
    <col min="11773" max="11773" width="4.5703125" style="64" customWidth="1"/>
    <col min="11774" max="11774" width="23.42578125" style="64" customWidth="1"/>
    <col min="11775" max="11775" width="7.7109375" style="64" customWidth="1"/>
    <col min="11776" max="11776" width="9.28515625" style="64" customWidth="1"/>
    <col min="11777" max="11778" width="7.28515625" style="64" customWidth="1"/>
    <col min="11779" max="11779" width="9.85546875" style="64" customWidth="1"/>
    <col min="11780" max="11780" width="5.85546875" style="64" customWidth="1"/>
    <col min="11781" max="11781" width="6.28515625" style="64" customWidth="1"/>
    <col min="11782" max="11782" width="8" style="64" customWidth="1"/>
    <col min="11783" max="11783" width="9.5703125" style="64" customWidth="1"/>
    <col min="11784" max="11784" width="11.42578125" style="64" customWidth="1"/>
    <col min="11785" max="11785" width="10.42578125" style="64" customWidth="1"/>
    <col min="11786" max="11786" width="11.85546875" style="64" customWidth="1"/>
    <col min="11787" max="11787" width="12" style="64" customWidth="1"/>
    <col min="11788" max="11789" width="0" style="64" hidden="1" customWidth="1"/>
    <col min="11790" max="11790" width="11.7109375" style="64" customWidth="1"/>
    <col min="11791" max="12028" width="8.85546875" style="64"/>
    <col min="12029" max="12029" width="4.5703125" style="64" customWidth="1"/>
    <col min="12030" max="12030" width="23.42578125" style="64" customWidth="1"/>
    <col min="12031" max="12031" width="7.7109375" style="64" customWidth="1"/>
    <col min="12032" max="12032" width="9.28515625" style="64" customWidth="1"/>
    <col min="12033" max="12034" width="7.28515625" style="64" customWidth="1"/>
    <col min="12035" max="12035" width="9.85546875" style="64" customWidth="1"/>
    <col min="12036" max="12036" width="5.85546875" style="64" customWidth="1"/>
    <col min="12037" max="12037" width="6.28515625" style="64" customWidth="1"/>
    <col min="12038" max="12038" width="8" style="64" customWidth="1"/>
    <col min="12039" max="12039" width="9.5703125" style="64" customWidth="1"/>
    <col min="12040" max="12040" width="11.42578125" style="64" customWidth="1"/>
    <col min="12041" max="12041" width="10.42578125" style="64" customWidth="1"/>
    <col min="12042" max="12042" width="11.85546875" style="64" customWidth="1"/>
    <col min="12043" max="12043" width="12" style="64" customWidth="1"/>
    <col min="12044" max="12045" width="0" style="64" hidden="1" customWidth="1"/>
    <col min="12046" max="12046" width="11.7109375" style="64" customWidth="1"/>
    <col min="12047" max="12284" width="8.85546875" style="64"/>
    <col min="12285" max="12285" width="4.5703125" style="64" customWidth="1"/>
    <col min="12286" max="12286" width="23.42578125" style="64" customWidth="1"/>
    <col min="12287" max="12287" width="7.7109375" style="64" customWidth="1"/>
    <col min="12288" max="12288" width="9.28515625" style="64" customWidth="1"/>
    <col min="12289" max="12290" width="7.28515625" style="64" customWidth="1"/>
    <col min="12291" max="12291" width="9.85546875" style="64" customWidth="1"/>
    <col min="12292" max="12292" width="5.85546875" style="64" customWidth="1"/>
    <col min="12293" max="12293" width="6.28515625" style="64" customWidth="1"/>
    <col min="12294" max="12294" width="8" style="64" customWidth="1"/>
    <col min="12295" max="12295" width="9.5703125" style="64" customWidth="1"/>
    <col min="12296" max="12296" width="11.42578125" style="64" customWidth="1"/>
    <col min="12297" max="12297" width="10.42578125" style="64" customWidth="1"/>
    <col min="12298" max="12298" width="11.85546875" style="64" customWidth="1"/>
    <col min="12299" max="12299" width="12" style="64" customWidth="1"/>
    <col min="12300" max="12301" width="0" style="64" hidden="1" customWidth="1"/>
    <col min="12302" max="12302" width="11.7109375" style="64" customWidth="1"/>
    <col min="12303" max="12540" width="8.85546875" style="64"/>
    <col min="12541" max="12541" width="4.5703125" style="64" customWidth="1"/>
    <col min="12542" max="12542" width="23.42578125" style="64" customWidth="1"/>
    <col min="12543" max="12543" width="7.7109375" style="64" customWidth="1"/>
    <col min="12544" max="12544" width="9.28515625" style="64" customWidth="1"/>
    <col min="12545" max="12546" width="7.28515625" style="64" customWidth="1"/>
    <col min="12547" max="12547" width="9.85546875" style="64" customWidth="1"/>
    <col min="12548" max="12548" width="5.85546875" style="64" customWidth="1"/>
    <col min="12549" max="12549" width="6.28515625" style="64" customWidth="1"/>
    <col min="12550" max="12550" width="8" style="64" customWidth="1"/>
    <col min="12551" max="12551" width="9.5703125" style="64" customWidth="1"/>
    <col min="12552" max="12552" width="11.42578125" style="64" customWidth="1"/>
    <col min="12553" max="12553" width="10.42578125" style="64" customWidth="1"/>
    <col min="12554" max="12554" width="11.85546875" style="64" customWidth="1"/>
    <col min="12555" max="12555" width="12" style="64" customWidth="1"/>
    <col min="12556" max="12557" width="0" style="64" hidden="1" customWidth="1"/>
    <col min="12558" max="12558" width="11.7109375" style="64" customWidth="1"/>
    <col min="12559" max="12796" width="8.85546875" style="64"/>
    <col min="12797" max="12797" width="4.5703125" style="64" customWidth="1"/>
    <col min="12798" max="12798" width="23.42578125" style="64" customWidth="1"/>
    <col min="12799" max="12799" width="7.7109375" style="64" customWidth="1"/>
    <col min="12800" max="12800" width="9.28515625" style="64" customWidth="1"/>
    <col min="12801" max="12802" width="7.28515625" style="64" customWidth="1"/>
    <col min="12803" max="12803" width="9.85546875" style="64" customWidth="1"/>
    <col min="12804" max="12804" width="5.85546875" style="64" customWidth="1"/>
    <col min="12805" max="12805" width="6.28515625" style="64" customWidth="1"/>
    <col min="12806" max="12806" width="8" style="64" customWidth="1"/>
    <col min="12807" max="12807" width="9.5703125" style="64" customWidth="1"/>
    <col min="12808" max="12808" width="11.42578125" style="64" customWidth="1"/>
    <col min="12809" max="12809" width="10.42578125" style="64" customWidth="1"/>
    <col min="12810" max="12810" width="11.85546875" style="64" customWidth="1"/>
    <col min="12811" max="12811" width="12" style="64" customWidth="1"/>
    <col min="12812" max="12813" width="0" style="64" hidden="1" customWidth="1"/>
    <col min="12814" max="12814" width="11.7109375" style="64" customWidth="1"/>
    <col min="12815" max="13052" width="8.85546875" style="64"/>
    <col min="13053" max="13053" width="4.5703125" style="64" customWidth="1"/>
    <col min="13054" max="13054" width="23.42578125" style="64" customWidth="1"/>
    <col min="13055" max="13055" width="7.7109375" style="64" customWidth="1"/>
    <col min="13056" max="13056" width="9.28515625" style="64" customWidth="1"/>
    <col min="13057" max="13058" width="7.28515625" style="64" customWidth="1"/>
    <col min="13059" max="13059" width="9.85546875" style="64" customWidth="1"/>
    <col min="13060" max="13060" width="5.85546875" style="64" customWidth="1"/>
    <col min="13061" max="13061" width="6.28515625" style="64" customWidth="1"/>
    <col min="13062" max="13062" width="8" style="64" customWidth="1"/>
    <col min="13063" max="13063" width="9.5703125" style="64" customWidth="1"/>
    <col min="13064" max="13064" width="11.42578125" style="64" customWidth="1"/>
    <col min="13065" max="13065" width="10.42578125" style="64" customWidth="1"/>
    <col min="13066" max="13066" width="11.85546875" style="64" customWidth="1"/>
    <col min="13067" max="13067" width="12" style="64" customWidth="1"/>
    <col min="13068" max="13069" width="0" style="64" hidden="1" customWidth="1"/>
    <col min="13070" max="13070" width="11.7109375" style="64" customWidth="1"/>
    <col min="13071" max="13308" width="8.85546875" style="64"/>
    <col min="13309" max="13309" width="4.5703125" style="64" customWidth="1"/>
    <col min="13310" max="13310" width="23.42578125" style="64" customWidth="1"/>
    <col min="13311" max="13311" width="7.7109375" style="64" customWidth="1"/>
    <col min="13312" max="13312" width="9.28515625" style="64" customWidth="1"/>
    <col min="13313" max="13314" width="7.28515625" style="64" customWidth="1"/>
    <col min="13315" max="13315" width="9.85546875" style="64" customWidth="1"/>
    <col min="13316" max="13316" width="5.85546875" style="64" customWidth="1"/>
    <col min="13317" max="13317" width="6.28515625" style="64" customWidth="1"/>
    <col min="13318" max="13318" width="8" style="64" customWidth="1"/>
    <col min="13319" max="13319" width="9.5703125" style="64" customWidth="1"/>
    <col min="13320" max="13320" width="11.42578125" style="64" customWidth="1"/>
    <col min="13321" max="13321" width="10.42578125" style="64" customWidth="1"/>
    <col min="13322" max="13322" width="11.85546875" style="64" customWidth="1"/>
    <col min="13323" max="13323" width="12" style="64" customWidth="1"/>
    <col min="13324" max="13325" width="0" style="64" hidden="1" customWidth="1"/>
    <col min="13326" max="13326" width="11.7109375" style="64" customWidth="1"/>
    <col min="13327" max="13564" width="8.85546875" style="64"/>
    <col min="13565" max="13565" width="4.5703125" style="64" customWidth="1"/>
    <col min="13566" max="13566" width="23.42578125" style="64" customWidth="1"/>
    <col min="13567" max="13567" width="7.7109375" style="64" customWidth="1"/>
    <col min="13568" max="13568" width="9.28515625" style="64" customWidth="1"/>
    <col min="13569" max="13570" width="7.28515625" style="64" customWidth="1"/>
    <col min="13571" max="13571" width="9.85546875" style="64" customWidth="1"/>
    <col min="13572" max="13572" width="5.85546875" style="64" customWidth="1"/>
    <col min="13573" max="13573" width="6.28515625" style="64" customWidth="1"/>
    <col min="13574" max="13574" width="8" style="64" customWidth="1"/>
    <col min="13575" max="13575" width="9.5703125" style="64" customWidth="1"/>
    <col min="13576" max="13576" width="11.42578125" style="64" customWidth="1"/>
    <col min="13577" max="13577" width="10.42578125" style="64" customWidth="1"/>
    <col min="13578" max="13578" width="11.85546875" style="64" customWidth="1"/>
    <col min="13579" max="13579" width="12" style="64" customWidth="1"/>
    <col min="13580" max="13581" width="0" style="64" hidden="1" customWidth="1"/>
    <col min="13582" max="13582" width="11.7109375" style="64" customWidth="1"/>
    <col min="13583" max="13820" width="8.85546875" style="64"/>
    <col min="13821" max="13821" width="4.5703125" style="64" customWidth="1"/>
    <col min="13822" max="13822" width="23.42578125" style="64" customWidth="1"/>
    <col min="13823" max="13823" width="7.7109375" style="64" customWidth="1"/>
    <col min="13824" max="13824" width="9.28515625" style="64" customWidth="1"/>
    <col min="13825" max="13826" width="7.28515625" style="64" customWidth="1"/>
    <col min="13827" max="13827" width="9.85546875" style="64" customWidth="1"/>
    <col min="13828" max="13828" width="5.85546875" style="64" customWidth="1"/>
    <col min="13829" max="13829" width="6.28515625" style="64" customWidth="1"/>
    <col min="13830" max="13830" width="8" style="64" customWidth="1"/>
    <col min="13831" max="13831" width="9.5703125" style="64" customWidth="1"/>
    <col min="13832" max="13832" width="11.42578125" style="64" customWidth="1"/>
    <col min="13833" max="13833" width="10.42578125" style="64" customWidth="1"/>
    <col min="13834" max="13834" width="11.85546875" style="64" customWidth="1"/>
    <col min="13835" max="13835" width="12" style="64" customWidth="1"/>
    <col min="13836" max="13837" width="0" style="64" hidden="1" customWidth="1"/>
    <col min="13838" max="13838" width="11.7109375" style="64" customWidth="1"/>
    <col min="13839" max="14076" width="8.85546875" style="64"/>
    <col min="14077" max="14077" width="4.5703125" style="64" customWidth="1"/>
    <col min="14078" max="14078" width="23.42578125" style="64" customWidth="1"/>
    <col min="14079" max="14079" width="7.7109375" style="64" customWidth="1"/>
    <col min="14080" max="14080" width="9.28515625" style="64" customWidth="1"/>
    <col min="14081" max="14082" width="7.28515625" style="64" customWidth="1"/>
    <col min="14083" max="14083" width="9.85546875" style="64" customWidth="1"/>
    <col min="14084" max="14084" width="5.85546875" style="64" customWidth="1"/>
    <col min="14085" max="14085" width="6.28515625" style="64" customWidth="1"/>
    <col min="14086" max="14086" width="8" style="64" customWidth="1"/>
    <col min="14087" max="14087" width="9.5703125" style="64" customWidth="1"/>
    <col min="14088" max="14088" width="11.42578125" style="64" customWidth="1"/>
    <col min="14089" max="14089" width="10.42578125" style="64" customWidth="1"/>
    <col min="14090" max="14090" width="11.85546875" style="64" customWidth="1"/>
    <col min="14091" max="14091" width="12" style="64" customWidth="1"/>
    <col min="14092" max="14093" width="0" style="64" hidden="1" customWidth="1"/>
    <col min="14094" max="14094" width="11.7109375" style="64" customWidth="1"/>
    <col min="14095" max="14332" width="8.85546875" style="64"/>
    <col min="14333" max="14333" width="4.5703125" style="64" customWidth="1"/>
    <col min="14334" max="14334" width="23.42578125" style="64" customWidth="1"/>
    <col min="14335" max="14335" width="7.7109375" style="64" customWidth="1"/>
    <col min="14336" max="14336" width="9.28515625" style="64" customWidth="1"/>
    <col min="14337" max="14338" width="7.28515625" style="64" customWidth="1"/>
    <col min="14339" max="14339" width="9.85546875" style="64" customWidth="1"/>
    <col min="14340" max="14340" width="5.85546875" style="64" customWidth="1"/>
    <col min="14341" max="14341" width="6.28515625" style="64" customWidth="1"/>
    <col min="14342" max="14342" width="8" style="64" customWidth="1"/>
    <col min="14343" max="14343" width="9.5703125" style="64" customWidth="1"/>
    <col min="14344" max="14344" width="11.42578125" style="64" customWidth="1"/>
    <col min="14345" max="14345" width="10.42578125" style="64" customWidth="1"/>
    <col min="14346" max="14346" width="11.85546875" style="64" customWidth="1"/>
    <col min="14347" max="14347" width="12" style="64" customWidth="1"/>
    <col min="14348" max="14349" width="0" style="64" hidden="1" customWidth="1"/>
    <col min="14350" max="14350" width="11.7109375" style="64" customWidth="1"/>
    <col min="14351" max="14588" width="8.85546875" style="64"/>
    <col min="14589" max="14589" width="4.5703125" style="64" customWidth="1"/>
    <col min="14590" max="14590" width="23.42578125" style="64" customWidth="1"/>
    <col min="14591" max="14591" width="7.7109375" style="64" customWidth="1"/>
    <col min="14592" max="14592" width="9.28515625" style="64" customWidth="1"/>
    <col min="14593" max="14594" width="7.28515625" style="64" customWidth="1"/>
    <col min="14595" max="14595" width="9.85546875" style="64" customWidth="1"/>
    <col min="14596" max="14596" width="5.85546875" style="64" customWidth="1"/>
    <col min="14597" max="14597" width="6.28515625" style="64" customWidth="1"/>
    <col min="14598" max="14598" width="8" style="64" customWidth="1"/>
    <col min="14599" max="14599" width="9.5703125" style="64" customWidth="1"/>
    <col min="14600" max="14600" width="11.42578125" style="64" customWidth="1"/>
    <col min="14601" max="14601" width="10.42578125" style="64" customWidth="1"/>
    <col min="14602" max="14602" width="11.85546875" style="64" customWidth="1"/>
    <col min="14603" max="14603" width="12" style="64" customWidth="1"/>
    <col min="14604" max="14605" width="0" style="64" hidden="1" customWidth="1"/>
    <col min="14606" max="14606" width="11.7109375" style="64" customWidth="1"/>
    <col min="14607" max="14844" width="8.85546875" style="64"/>
    <col min="14845" max="14845" width="4.5703125" style="64" customWidth="1"/>
    <col min="14846" max="14846" width="23.42578125" style="64" customWidth="1"/>
    <col min="14847" max="14847" width="7.7109375" style="64" customWidth="1"/>
    <col min="14848" max="14848" width="9.28515625" style="64" customWidth="1"/>
    <col min="14849" max="14850" width="7.28515625" style="64" customWidth="1"/>
    <col min="14851" max="14851" width="9.85546875" style="64" customWidth="1"/>
    <col min="14852" max="14852" width="5.85546875" style="64" customWidth="1"/>
    <col min="14853" max="14853" width="6.28515625" style="64" customWidth="1"/>
    <col min="14854" max="14854" width="8" style="64" customWidth="1"/>
    <col min="14855" max="14855" width="9.5703125" style="64" customWidth="1"/>
    <col min="14856" max="14856" width="11.42578125" style="64" customWidth="1"/>
    <col min="14857" max="14857" width="10.42578125" style="64" customWidth="1"/>
    <col min="14858" max="14858" width="11.85546875" style="64" customWidth="1"/>
    <col min="14859" max="14859" width="12" style="64" customWidth="1"/>
    <col min="14860" max="14861" width="0" style="64" hidden="1" customWidth="1"/>
    <col min="14862" max="14862" width="11.7109375" style="64" customWidth="1"/>
    <col min="14863" max="15100" width="8.85546875" style="64"/>
    <col min="15101" max="15101" width="4.5703125" style="64" customWidth="1"/>
    <col min="15102" max="15102" width="23.42578125" style="64" customWidth="1"/>
    <col min="15103" max="15103" width="7.7109375" style="64" customWidth="1"/>
    <col min="15104" max="15104" width="9.28515625" style="64" customWidth="1"/>
    <col min="15105" max="15106" width="7.28515625" style="64" customWidth="1"/>
    <col min="15107" max="15107" width="9.85546875" style="64" customWidth="1"/>
    <col min="15108" max="15108" width="5.85546875" style="64" customWidth="1"/>
    <col min="15109" max="15109" width="6.28515625" style="64" customWidth="1"/>
    <col min="15110" max="15110" width="8" style="64" customWidth="1"/>
    <col min="15111" max="15111" width="9.5703125" style="64" customWidth="1"/>
    <col min="15112" max="15112" width="11.42578125" style="64" customWidth="1"/>
    <col min="15113" max="15113" width="10.42578125" style="64" customWidth="1"/>
    <col min="15114" max="15114" width="11.85546875" style="64" customWidth="1"/>
    <col min="15115" max="15115" width="12" style="64" customWidth="1"/>
    <col min="15116" max="15117" width="0" style="64" hidden="1" customWidth="1"/>
    <col min="15118" max="15118" width="11.7109375" style="64" customWidth="1"/>
    <col min="15119" max="15356" width="8.85546875" style="64"/>
    <col min="15357" max="15357" width="4.5703125" style="64" customWidth="1"/>
    <col min="15358" max="15358" width="23.42578125" style="64" customWidth="1"/>
    <col min="15359" max="15359" width="7.7109375" style="64" customWidth="1"/>
    <col min="15360" max="15360" width="9.28515625" style="64" customWidth="1"/>
    <col min="15361" max="15362" width="7.28515625" style="64" customWidth="1"/>
    <col min="15363" max="15363" width="9.85546875" style="64" customWidth="1"/>
    <col min="15364" max="15364" width="5.85546875" style="64" customWidth="1"/>
    <col min="15365" max="15365" width="6.28515625" style="64" customWidth="1"/>
    <col min="15366" max="15366" width="8" style="64" customWidth="1"/>
    <col min="15367" max="15367" width="9.5703125" style="64" customWidth="1"/>
    <col min="15368" max="15368" width="11.42578125" style="64" customWidth="1"/>
    <col min="15369" max="15369" width="10.42578125" style="64" customWidth="1"/>
    <col min="15370" max="15370" width="11.85546875" style="64" customWidth="1"/>
    <col min="15371" max="15371" width="12" style="64" customWidth="1"/>
    <col min="15372" max="15373" width="0" style="64" hidden="1" customWidth="1"/>
    <col min="15374" max="15374" width="11.7109375" style="64" customWidth="1"/>
    <col min="15375" max="15612" width="8.85546875" style="64"/>
    <col min="15613" max="15613" width="4.5703125" style="64" customWidth="1"/>
    <col min="15614" max="15614" width="23.42578125" style="64" customWidth="1"/>
    <col min="15615" max="15615" width="7.7109375" style="64" customWidth="1"/>
    <col min="15616" max="15616" width="9.28515625" style="64" customWidth="1"/>
    <col min="15617" max="15618" width="7.28515625" style="64" customWidth="1"/>
    <col min="15619" max="15619" width="9.85546875" style="64" customWidth="1"/>
    <col min="15620" max="15620" width="5.85546875" style="64" customWidth="1"/>
    <col min="15621" max="15621" width="6.28515625" style="64" customWidth="1"/>
    <col min="15622" max="15622" width="8" style="64" customWidth="1"/>
    <col min="15623" max="15623" width="9.5703125" style="64" customWidth="1"/>
    <col min="15624" max="15624" width="11.42578125" style="64" customWidth="1"/>
    <col min="15625" max="15625" width="10.42578125" style="64" customWidth="1"/>
    <col min="15626" max="15626" width="11.85546875" style="64" customWidth="1"/>
    <col min="15627" max="15627" width="12" style="64" customWidth="1"/>
    <col min="15628" max="15629" width="0" style="64" hidden="1" customWidth="1"/>
    <col min="15630" max="15630" width="11.7109375" style="64" customWidth="1"/>
    <col min="15631" max="15868" width="8.85546875" style="64"/>
    <col min="15869" max="15869" width="4.5703125" style="64" customWidth="1"/>
    <col min="15870" max="15870" width="23.42578125" style="64" customWidth="1"/>
    <col min="15871" max="15871" width="7.7109375" style="64" customWidth="1"/>
    <col min="15872" max="15872" width="9.28515625" style="64" customWidth="1"/>
    <col min="15873" max="15874" width="7.28515625" style="64" customWidth="1"/>
    <col min="15875" max="15875" width="9.85546875" style="64" customWidth="1"/>
    <col min="15876" max="15876" width="5.85546875" style="64" customWidth="1"/>
    <col min="15877" max="15877" width="6.28515625" style="64" customWidth="1"/>
    <col min="15878" max="15878" width="8" style="64" customWidth="1"/>
    <col min="15879" max="15879" width="9.5703125" style="64" customWidth="1"/>
    <col min="15880" max="15880" width="11.42578125" style="64" customWidth="1"/>
    <col min="15881" max="15881" width="10.42578125" style="64" customWidth="1"/>
    <col min="15882" max="15882" width="11.85546875" style="64" customWidth="1"/>
    <col min="15883" max="15883" width="12" style="64" customWidth="1"/>
    <col min="15884" max="15885" width="0" style="64" hidden="1" customWidth="1"/>
    <col min="15886" max="15886" width="11.7109375" style="64" customWidth="1"/>
    <col min="15887" max="16124" width="8.85546875" style="64"/>
    <col min="16125" max="16125" width="4.5703125" style="64" customWidth="1"/>
    <col min="16126" max="16126" width="23.42578125" style="64" customWidth="1"/>
    <col min="16127" max="16127" width="7.7109375" style="64" customWidth="1"/>
    <col min="16128" max="16128" width="9.28515625" style="64" customWidth="1"/>
    <col min="16129" max="16130" width="7.28515625" style="64" customWidth="1"/>
    <col min="16131" max="16131" width="9.85546875" style="64" customWidth="1"/>
    <col min="16132" max="16132" width="5.85546875" style="64" customWidth="1"/>
    <col min="16133" max="16133" width="6.28515625" style="64" customWidth="1"/>
    <col min="16134" max="16134" width="8" style="64" customWidth="1"/>
    <col min="16135" max="16135" width="9.5703125" style="64" customWidth="1"/>
    <col min="16136" max="16136" width="11.42578125" style="64" customWidth="1"/>
    <col min="16137" max="16137" width="10.42578125" style="64" customWidth="1"/>
    <col min="16138" max="16138" width="11.85546875" style="64" customWidth="1"/>
    <col min="16139" max="16139" width="12" style="64" customWidth="1"/>
    <col min="16140" max="16141" width="0" style="64" hidden="1" customWidth="1"/>
    <col min="16142" max="16142" width="11.7109375" style="64" customWidth="1"/>
    <col min="16143" max="16384" width="8.85546875" style="64"/>
  </cols>
  <sheetData>
    <row r="1" spans="1:25" ht="63.6" customHeight="1">
      <c r="X1" s="399" t="s">
        <v>520</v>
      </c>
      <c r="Y1" s="399"/>
    </row>
    <row r="2" spans="1:25" s="5" customFormat="1">
      <c r="B2" s="102"/>
      <c r="Q2" s="121"/>
      <c r="R2" s="6"/>
      <c r="W2" s="121"/>
      <c r="X2" s="6"/>
    </row>
    <row r="3" spans="1:25" s="5" customFormat="1">
      <c r="A3" s="442" t="s">
        <v>141</v>
      </c>
      <c r="B3" s="442"/>
      <c r="C3" s="442"/>
      <c r="D3" s="442"/>
      <c r="E3" s="442"/>
      <c r="F3" s="442"/>
      <c r="G3" s="442"/>
      <c r="H3" s="442"/>
      <c r="I3" s="442"/>
      <c r="J3" s="442"/>
      <c r="K3" s="442"/>
      <c r="L3" s="442"/>
      <c r="M3" s="442"/>
      <c r="N3" s="442"/>
      <c r="O3" s="442"/>
      <c r="P3" s="442"/>
      <c r="Q3" s="442"/>
      <c r="R3" s="442"/>
      <c r="S3" s="442"/>
      <c r="T3" s="442"/>
      <c r="U3" s="442"/>
      <c r="V3" s="442"/>
      <c r="W3" s="442"/>
      <c r="X3" s="442"/>
      <c r="Y3" s="442"/>
    </row>
    <row r="4" spans="1:25" s="5" customFormat="1">
      <c r="A4" s="442"/>
      <c r="B4" s="442"/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2"/>
      <c r="O4" s="442"/>
      <c r="P4" s="442"/>
      <c r="Q4" s="442"/>
      <c r="R4" s="442"/>
    </row>
    <row r="5" spans="1:25" ht="17.25" customHeight="1">
      <c r="A5" s="441" t="s">
        <v>0</v>
      </c>
      <c r="B5" s="441" t="s">
        <v>20</v>
      </c>
      <c r="C5" s="441" t="s">
        <v>21</v>
      </c>
      <c r="D5" s="441" t="s">
        <v>22</v>
      </c>
      <c r="E5" s="441" t="s">
        <v>103</v>
      </c>
      <c r="F5" s="443" t="s">
        <v>23</v>
      </c>
      <c r="G5" s="434" t="s">
        <v>104</v>
      </c>
      <c r="H5" s="435"/>
      <c r="I5" s="435"/>
      <c r="J5" s="435"/>
      <c r="K5" s="435"/>
      <c r="L5" s="435"/>
      <c r="M5" s="435"/>
      <c r="N5" s="435"/>
      <c r="O5" s="435"/>
      <c r="P5" s="435"/>
      <c r="Q5" s="436"/>
      <c r="R5" s="441" t="s">
        <v>28</v>
      </c>
      <c r="S5" s="441" t="s">
        <v>167</v>
      </c>
      <c r="T5" s="441" t="s">
        <v>105</v>
      </c>
      <c r="U5" s="441" t="s">
        <v>106</v>
      </c>
      <c r="V5" s="441" t="s">
        <v>108</v>
      </c>
      <c r="W5" s="437" t="s">
        <v>110</v>
      </c>
      <c r="X5" s="437" t="s">
        <v>111</v>
      </c>
      <c r="Y5" s="437" t="s">
        <v>112</v>
      </c>
    </row>
    <row r="6" spans="1:25" ht="113.45" customHeight="1">
      <c r="A6" s="441"/>
      <c r="B6" s="441"/>
      <c r="C6" s="441"/>
      <c r="D6" s="441"/>
      <c r="E6" s="441"/>
      <c r="F6" s="443"/>
      <c r="G6" s="441" t="s">
        <v>85</v>
      </c>
      <c r="H6" s="441"/>
      <c r="I6" s="127" t="s">
        <v>25</v>
      </c>
      <c r="J6" s="441" t="s">
        <v>24</v>
      </c>
      <c r="K6" s="441"/>
      <c r="L6" s="444" t="s">
        <v>134</v>
      </c>
      <c r="M6" s="445"/>
      <c r="N6" s="441" t="s">
        <v>26</v>
      </c>
      <c r="O6" s="441"/>
      <c r="P6" s="439" t="s">
        <v>115</v>
      </c>
      <c r="Q6" s="440"/>
      <c r="R6" s="441"/>
      <c r="S6" s="441"/>
      <c r="T6" s="441"/>
      <c r="U6" s="441"/>
      <c r="V6" s="441"/>
      <c r="W6" s="438"/>
      <c r="X6" s="438"/>
      <c r="Y6" s="438"/>
    </row>
    <row r="7" spans="1:25" ht="20.45" customHeight="1">
      <c r="A7" s="441"/>
      <c r="B7" s="441"/>
      <c r="C7" s="441"/>
      <c r="D7" s="441"/>
      <c r="E7" s="441"/>
      <c r="F7" s="443"/>
      <c r="G7" s="125" t="s">
        <v>3</v>
      </c>
      <c r="H7" s="125" t="s">
        <v>29</v>
      </c>
      <c r="I7" s="125" t="s">
        <v>29</v>
      </c>
      <c r="J7" s="125" t="s">
        <v>3</v>
      </c>
      <c r="K7" s="125" t="s">
        <v>29</v>
      </c>
      <c r="L7" s="125" t="s">
        <v>3</v>
      </c>
      <c r="M7" s="125" t="s">
        <v>29</v>
      </c>
      <c r="N7" s="125" t="s">
        <v>3</v>
      </c>
      <c r="O7" s="125" t="s">
        <v>29</v>
      </c>
      <c r="P7" s="125" t="s">
        <v>3</v>
      </c>
      <c r="Q7" s="125" t="s">
        <v>29</v>
      </c>
      <c r="R7" s="125" t="s">
        <v>29</v>
      </c>
      <c r="S7" s="125" t="s">
        <v>29</v>
      </c>
      <c r="T7" s="125" t="s">
        <v>29</v>
      </c>
      <c r="U7" s="125" t="s">
        <v>29</v>
      </c>
      <c r="V7" s="125" t="s">
        <v>29</v>
      </c>
      <c r="W7" s="125" t="s">
        <v>29</v>
      </c>
      <c r="X7" s="125" t="s">
        <v>29</v>
      </c>
      <c r="Y7" s="125" t="s">
        <v>29</v>
      </c>
    </row>
    <row r="8" spans="1:25" ht="17.25" customHeight="1">
      <c r="A8" s="125">
        <v>1</v>
      </c>
      <c r="B8" s="125">
        <v>2</v>
      </c>
      <c r="C8" s="125">
        <v>3</v>
      </c>
      <c r="D8" s="125">
        <v>4</v>
      </c>
      <c r="E8" s="125">
        <v>5</v>
      </c>
      <c r="F8" s="125">
        <v>6</v>
      </c>
      <c r="G8" s="125">
        <v>7</v>
      </c>
      <c r="H8" s="125">
        <v>8</v>
      </c>
      <c r="I8" s="125">
        <v>9</v>
      </c>
      <c r="J8" s="125">
        <v>10</v>
      </c>
      <c r="K8" s="125">
        <v>11</v>
      </c>
      <c r="L8" s="125">
        <v>12</v>
      </c>
      <c r="M8" s="125">
        <v>13</v>
      </c>
      <c r="N8" s="125">
        <v>9</v>
      </c>
      <c r="O8" s="125">
        <v>10</v>
      </c>
      <c r="P8" s="125">
        <v>11</v>
      </c>
      <c r="Q8" s="125">
        <v>12</v>
      </c>
      <c r="R8" s="125">
        <v>13</v>
      </c>
      <c r="S8" s="125">
        <v>14</v>
      </c>
      <c r="T8" s="125">
        <v>15</v>
      </c>
      <c r="U8" s="125">
        <v>16</v>
      </c>
      <c r="V8" s="125">
        <v>17</v>
      </c>
      <c r="W8" s="125">
        <v>18</v>
      </c>
      <c r="X8" s="125">
        <v>19</v>
      </c>
      <c r="Y8" s="125">
        <v>20</v>
      </c>
    </row>
    <row r="9" spans="1:25">
      <c r="A9" s="434" t="s">
        <v>354</v>
      </c>
      <c r="B9" s="435"/>
      <c r="C9" s="435"/>
      <c r="D9" s="435"/>
      <c r="E9" s="435"/>
      <c r="F9" s="435"/>
      <c r="G9" s="435"/>
      <c r="H9" s="435"/>
      <c r="I9" s="435"/>
      <c r="J9" s="435"/>
      <c r="K9" s="435"/>
      <c r="L9" s="435"/>
      <c r="M9" s="435"/>
      <c r="N9" s="435"/>
      <c r="O9" s="435"/>
      <c r="P9" s="435"/>
      <c r="Q9" s="435"/>
      <c r="R9" s="435"/>
      <c r="S9" s="435"/>
      <c r="T9" s="435"/>
      <c r="U9" s="435"/>
      <c r="V9" s="435"/>
      <c r="W9" s="435"/>
      <c r="X9" s="435"/>
      <c r="Y9" s="436"/>
    </row>
    <row r="10" spans="1:25">
      <c r="A10" s="78">
        <v>1</v>
      </c>
      <c r="B10" s="11" t="s">
        <v>32</v>
      </c>
      <c r="C10" s="141">
        <v>7</v>
      </c>
      <c r="D10" s="144">
        <v>7040</v>
      </c>
      <c r="E10" s="142">
        <v>1.1399999999999999</v>
      </c>
      <c r="F10" s="144">
        <f t="shared" ref="F10" si="0">D10*E10</f>
        <v>8025.5999999999995</v>
      </c>
      <c r="G10" s="73"/>
      <c r="H10" s="144"/>
      <c r="I10" s="85"/>
      <c r="J10" s="85"/>
      <c r="K10" s="85"/>
      <c r="L10" s="85"/>
      <c r="M10" s="85"/>
      <c r="N10" s="73"/>
      <c r="O10" s="144">
        <f>18000+5200</f>
        <v>23200</v>
      </c>
      <c r="P10" s="85"/>
      <c r="Q10" s="85"/>
      <c r="R10" s="144">
        <f>+F10+H10+I10++K10+O10+Q10</f>
        <v>31225.599999999999</v>
      </c>
      <c r="S10" s="144">
        <f t="shared" ref="S10:S22" si="1">R10*C10</f>
        <v>218579.19999999998</v>
      </c>
      <c r="T10" s="85"/>
      <c r="U10" s="144"/>
      <c r="V10" s="85">
        <f t="shared" ref="V10:V22" si="2">(S10*14.0135)/12</f>
        <v>255254.96826666666</v>
      </c>
      <c r="W10" s="144">
        <f>(S10*8)+T10+U10+V10</f>
        <v>2003888.5682666665</v>
      </c>
      <c r="X10" s="144">
        <f>((S10*8)+T10+V10)*0.1725</f>
        <v>345670.77802599996</v>
      </c>
      <c r="Y10" s="144">
        <f t="shared" ref="Y10:Y22" si="3">W10+X10</f>
        <v>2349559.3462926666</v>
      </c>
    </row>
    <row r="11" spans="1:25">
      <c r="A11" s="78">
        <v>2</v>
      </c>
      <c r="B11" s="11" t="s">
        <v>142</v>
      </c>
      <c r="C11" s="141">
        <v>2</v>
      </c>
      <c r="D11" s="144">
        <v>7040</v>
      </c>
      <c r="E11" s="142">
        <v>1.1399999999999999</v>
      </c>
      <c r="F11" s="144">
        <f t="shared" ref="F11:F22" si="4">+D11*E11</f>
        <v>8025.5999999999995</v>
      </c>
      <c r="G11" s="73"/>
      <c r="H11" s="144"/>
      <c r="I11" s="85"/>
      <c r="J11" s="85"/>
      <c r="K11" s="85"/>
      <c r="L11" s="85"/>
      <c r="M11" s="85"/>
      <c r="N11" s="73"/>
      <c r="O11" s="144">
        <f>14500+4500</f>
        <v>19000</v>
      </c>
      <c r="P11" s="85"/>
      <c r="Q11" s="85"/>
      <c r="R11" s="144">
        <f t="shared" ref="R11:R22" si="5">+F11+H11+I11++K11+O11+Q11</f>
        <v>27025.599999999999</v>
      </c>
      <c r="S11" s="144">
        <f t="shared" si="1"/>
        <v>54051.199999999997</v>
      </c>
      <c r="T11" s="85"/>
      <c r="U11" s="144"/>
      <c r="V11" s="85">
        <f t="shared" si="2"/>
        <v>63120.54093333333</v>
      </c>
      <c r="W11" s="144">
        <f t="shared" ref="W11:W12" si="6">(S11*8)+T11+U11+V11</f>
        <v>495530.14093333331</v>
      </c>
      <c r="X11" s="144">
        <f t="shared" ref="X11:X12" si="7">((S11*8)+T11+V11)*0.1725</f>
        <v>85478.949310999989</v>
      </c>
      <c r="Y11" s="144">
        <f t="shared" si="3"/>
        <v>581009.09024433326</v>
      </c>
    </row>
    <row r="12" spans="1:25">
      <c r="A12" s="78">
        <v>3</v>
      </c>
      <c r="B12" s="11" t="s">
        <v>49</v>
      </c>
      <c r="C12" s="141">
        <v>12</v>
      </c>
      <c r="D12" s="144">
        <v>7040</v>
      </c>
      <c r="E12" s="142">
        <v>1</v>
      </c>
      <c r="F12" s="144">
        <f t="shared" si="4"/>
        <v>7040</v>
      </c>
      <c r="G12" s="73"/>
      <c r="H12" s="144"/>
      <c r="I12" s="85"/>
      <c r="J12" s="85"/>
      <c r="K12" s="85"/>
      <c r="L12" s="85"/>
      <c r="M12" s="85"/>
      <c r="N12" s="73"/>
      <c r="O12" s="144">
        <f>19000+5200</f>
        <v>24200</v>
      </c>
      <c r="P12" s="85"/>
      <c r="Q12" s="85"/>
      <c r="R12" s="144">
        <f t="shared" si="5"/>
        <v>31240</v>
      </c>
      <c r="S12" s="144">
        <f t="shared" si="1"/>
        <v>374880</v>
      </c>
      <c r="T12" s="85"/>
      <c r="U12" s="144"/>
      <c r="V12" s="85">
        <f t="shared" si="2"/>
        <v>437781.74</v>
      </c>
      <c r="W12" s="144">
        <f t="shared" si="6"/>
        <v>3436821.74</v>
      </c>
      <c r="X12" s="144">
        <f t="shared" si="7"/>
        <v>592851.75014999998</v>
      </c>
      <c r="Y12" s="144">
        <f t="shared" si="3"/>
        <v>4029673.49015</v>
      </c>
    </row>
    <row r="13" spans="1:25">
      <c r="A13" s="78">
        <v>4</v>
      </c>
      <c r="B13" s="11" t="s">
        <v>143</v>
      </c>
      <c r="C13" s="141">
        <v>1</v>
      </c>
      <c r="D13" s="144">
        <v>7040</v>
      </c>
      <c r="E13" s="142">
        <v>1.1399999999999999</v>
      </c>
      <c r="F13" s="144">
        <f t="shared" si="4"/>
        <v>8025.5999999999995</v>
      </c>
      <c r="G13" s="73"/>
      <c r="H13" s="144"/>
      <c r="I13" s="85"/>
      <c r="J13" s="85"/>
      <c r="K13" s="85"/>
      <c r="L13" s="85"/>
      <c r="M13" s="85"/>
      <c r="N13" s="73"/>
      <c r="O13" s="144">
        <f>18000+5200</f>
        <v>23200</v>
      </c>
      <c r="P13" s="85"/>
      <c r="Q13" s="85"/>
      <c r="R13" s="144">
        <f t="shared" si="5"/>
        <v>31225.599999999999</v>
      </c>
      <c r="S13" s="144">
        <f t="shared" si="1"/>
        <v>31225.599999999999</v>
      </c>
      <c r="T13" s="85">
        <f t="shared" ref="T13" si="8">(((S13+(S13*14.0135/12/12)))*3/3/29.6)*30</f>
        <v>34727.381373873875</v>
      </c>
      <c r="U13" s="144">
        <f t="shared" ref="U13" si="9">S13*2</f>
        <v>62451.199999999997</v>
      </c>
      <c r="V13" s="85">
        <f t="shared" si="2"/>
        <v>36464.995466666667</v>
      </c>
      <c r="W13" s="144">
        <f>(S13*7)+T13+U13+V13</f>
        <v>352222.77684054052</v>
      </c>
      <c r="X13" s="144">
        <f>((S13*7)+T13+V13)*0.1725</f>
        <v>49985.597004993237</v>
      </c>
      <c r="Y13" s="144">
        <f t="shared" si="3"/>
        <v>402208.37384553376</v>
      </c>
    </row>
    <row r="14" spans="1:25">
      <c r="A14" s="78">
        <v>5</v>
      </c>
      <c r="B14" s="11" t="s">
        <v>144</v>
      </c>
      <c r="C14" s="141">
        <v>5</v>
      </c>
      <c r="D14" s="144">
        <v>7040</v>
      </c>
      <c r="E14" s="142">
        <v>1.6</v>
      </c>
      <c r="F14" s="144">
        <f>+D14*E14</f>
        <v>11264</v>
      </c>
      <c r="G14" s="73"/>
      <c r="H14" s="144"/>
      <c r="I14" s="85"/>
      <c r="J14" s="85"/>
      <c r="K14" s="85"/>
      <c r="L14" s="85"/>
      <c r="M14" s="85"/>
      <c r="N14" s="73"/>
      <c r="O14" s="144">
        <f>12200+4700</f>
        <v>16900</v>
      </c>
      <c r="P14" s="85"/>
      <c r="Q14" s="85"/>
      <c r="R14" s="144">
        <f>+F14+H14+I14++K14+O14+Q14</f>
        <v>28164</v>
      </c>
      <c r="S14" s="144">
        <f t="shared" si="1"/>
        <v>140820</v>
      </c>
      <c r="T14" s="85"/>
      <c r="U14" s="144"/>
      <c r="V14" s="85">
        <f t="shared" si="2"/>
        <v>164448.42250000002</v>
      </c>
      <c r="W14" s="144">
        <f t="shared" ref="W14:W22" si="10">(S14*8)+T14+U14+V14</f>
        <v>1291008.4225000001</v>
      </c>
      <c r="X14" s="144">
        <f t="shared" ref="X14:X22" si="11">((S14*8)+T14+V14)*0.1725</f>
        <v>222698.95288125001</v>
      </c>
      <c r="Y14" s="144">
        <f t="shared" si="3"/>
        <v>1513707.3753812502</v>
      </c>
    </row>
    <row r="15" spans="1:25">
      <c r="A15" s="78">
        <v>6</v>
      </c>
      <c r="B15" s="11" t="s">
        <v>50</v>
      </c>
      <c r="C15" s="141">
        <v>3</v>
      </c>
      <c r="D15" s="144">
        <v>7040</v>
      </c>
      <c r="E15" s="142">
        <v>1</v>
      </c>
      <c r="F15" s="144">
        <f t="shared" si="4"/>
        <v>7040</v>
      </c>
      <c r="G15" s="73"/>
      <c r="H15" s="144"/>
      <c r="I15" s="85"/>
      <c r="J15" s="85"/>
      <c r="K15" s="85"/>
      <c r="L15" s="85"/>
      <c r="M15" s="85"/>
      <c r="N15" s="73"/>
      <c r="O15" s="144">
        <f>3000+2700</f>
        <v>5700</v>
      </c>
      <c r="P15" s="73">
        <v>0.5</v>
      </c>
      <c r="Q15" s="144">
        <f t="shared" ref="Q15:Q22" si="12">F15*P15</f>
        <v>3520</v>
      </c>
      <c r="R15" s="144">
        <f t="shared" si="5"/>
        <v>16260</v>
      </c>
      <c r="S15" s="144">
        <f t="shared" si="1"/>
        <v>48780</v>
      </c>
      <c r="T15" s="85"/>
      <c r="U15" s="144"/>
      <c r="V15" s="85">
        <f t="shared" si="2"/>
        <v>56964.877500000002</v>
      </c>
      <c r="W15" s="144">
        <f t="shared" si="10"/>
        <v>447204.8775</v>
      </c>
      <c r="X15" s="144">
        <f t="shared" si="11"/>
        <v>77142.84136875</v>
      </c>
      <c r="Y15" s="144">
        <f t="shared" si="3"/>
        <v>524347.71886875003</v>
      </c>
    </row>
    <row r="16" spans="1:25" ht="25.5">
      <c r="A16" s="78">
        <v>7</v>
      </c>
      <c r="B16" s="11" t="s">
        <v>145</v>
      </c>
      <c r="C16" s="141">
        <v>4</v>
      </c>
      <c r="D16" s="144">
        <v>7040</v>
      </c>
      <c r="E16" s="142">
        <v>1</v>
      </c>
      <c r="F16" s="144">
        <f t="shared" si="4"/>
        <v>7040</v>
      </c>
      <c r="G16" s="73"/>
      <c r="H16" s="144"/>
      <c r="I16" s="85"/>
      <c r="J16" s="85"/>
      <c r="K16" s="85"/>
      <c r="L16" s="85"/>
      <c r="M16" s="85"/>
      <c r="N16" s="73"/>
      <c r="O16" s="144">
        <f>3000+2700+1000</f>
        <v>6700</v>
      </c>
      <c r="P16" s="73">
        <v>0.5</v>
      </c>
      <c r="Q16" s="144">
        <f t="shared" si="12"/>
        <v>3520</v>
      </c>
      <c r="R16" s="144">
        <f t="shared" si="5"/>
        <v>17260</v>
      </c>
      <c r="S16" s="144">
        <f t="shared" si="1"/>
        <v>69040</v>
      </c>
      <c r="T16" s="85"/>
      <c r="U16" s="144"/>
      <c r="V16" s="85">
        <f t="shared" si="2"/>
        <v>80624.33666666667</v>
      </c>
      <c r="W16" s="144">
        <f t="shared" si="10"/>
        <v>632944.33666666667</v>
      </c>
      <c r="X16" s="144">
        <f t="shared" si="11"/>
        <v>109182.89807499999</v>
      </c>
      <c r="Y16" s="144">
        <f t="shared" si="3"/>
        <v>742127.2347416667</v>
      </c>
    </row>
    <row r="17" spans="1:25">
      <c r="A17" s="78">
        <v>8</v>
      </c>
      <c r="B17" s="11" t="s">
        <v>146</v>
      </c>
      <c r="C17" s="141">
        <v>4</v>
      </c>
      <c r="D17" s="144">
        <v>7040</v>
      </c>
      <c r="E17" s="142">
        <v>1</v>
      </c>
      <c r="F17" s="144">
        <f t="shared" si="4"/>
        <v>7040</v>
      </c>
      <c r="G17" s="73"/>
      <c r="H17" s="144"/>
      <c r="I17" s="85"/>
      <c r="J17" s="85"/>
      <c r="K17" s="85"/>
      <c r="L17" s="85"/>
      <c r="M17" s="85"/>
      <c r="N17" s="73"/>
      <c r="O17" s="144">
        <f>3000+2700</f>
        <v>5700</v>
      </c>
      <c r="P17" s="73">
        <v>0.5</v>
      </c>
      <c r="Q17" s="144">
        <f t="shared" si="12"/>
        <v>3520</v>
      </c>
      <c r="R17" s="144">
        <f t="shared" si="5"/>
        <v>16260</v>
      </c>
      <c r="S17" s="144">
        <f t="shared" si="1"/>
        <v>65040</v>
      </c>
      <c r="T17" s="85"/>
      <c r="U17" s="144"/>
      <c r="V17" s="85">
        <f t="shared" si="2"/>
        <v>75953.17</v>
      </c>
      <c r="W17" s="144">
        <f t="shared" si="10"/>
        <v>596273.17000000004</v>
      </c>
      <c r="X17" s="144">
        <f t="shared" si="11"/>
        <v>102857.12182499999</v>
      </c>
      <c r="Y17" s="144">
        <f t="shared" si="3"/>
        <v>699130.29182500008</v>
      </c>
    </row>
    <row r="18" spans="1:25">
      <c r="A18" s="78">
        <v>9</v>
      </c>
      <c r="B18" s="11" t="s">
        <v>147</v>
      </c>
      <c r="C18" s="141">
        <v>1</v>
      </c>
      <c r="D18" s="144">
        <v>7040</v>
      </c>
      <c r="E18" s="142">
        <v>1</v>
      </c>
      <c r="F18" s="144">
        <f t="shared" si="4"/>
        <v>7040</v>
      </c>
      <c r="G18" s="73"/>
      <c r="H18" s="144"/>
      <c r="I18" s="85"/>
      <c r="J18" s="85"/>
      <c r="K18" s="85"/>
      <c r="L18" s="85"/>
      <c r="M18" s="85"/>
      <c r="N18" s="73"/>
      <c r="O18" s="144">
        <v>10220</v>
      </c>
      <c r="P18" s="73"/>
      <c r="Q18" s="144">
        <f t="shared" si="12"/>
        <v>0</v>
      </c>
      <c r="R18" s="144">
        <f t="shared" si="5"/>
        <v>17260</v>
      </c>
      <c r="S18" s="144">
        <f t="shared" si="1"/>
        <v>17260</v>
      </c>
      <c r="T18" s="85"/>
      <c r="U18" s="144"/>
      <c r="V18" s="85">
        <f t="shared" si="2"/>
        <v>20156.084166666667</v>
      </c>
      <c r="W18" s="144">
        <f t="shared" si="10"/>
        <v>158236.08416666667</v>
      </c>
      <c r="X18" s="144">
        <f t="shared" si="11"/>
        <v>27295.724518749998</v>
      </c>
      <c r="Y18" s="144">
        <f t="shared" si="3"/>
        <v>185531.80868541668</v>
      </c>
    </row>
    <row r="19" spans="1:25">
      <c r="A19" s="78">
        <v>10</v>
      </c>
      <c r="B19" s="11" t="s">
        <v>148</v>
      </c>
      <c r="C19" s="141">
        <v>1</v>
      </c>
      <c r="D19" s="144">
        <v>7040</v>
      </c>
      <c r="E19" s="142">
        <v>1</v>
      </c>
      <c r="F19" s="144">
        <f t="shared" si="4"/>
        <v>7040</v>
      </c>
      <c r="G19" s="73"/>
      <c r="H19" s="144"/>
      <c r="I19" s="85"/>
      <c r="J19" s="85"/>
      <c r="K19" s="85"/>
      <c r="L19" s="85"/>
      <c r="M19" s="85"/>
      <c r="N19" s="73"/>
      <c r="O19" s="144">
        <f>5800+2500</f>
        <v>8300</v>
      </c>
      <c r="P19" s="73"/>
      <c r="Q19" s="144">
        <f t="shared" si="12"/>
        <v>0</v>
      </c>
      <c r="R19" s="144">
        <f t="shared" si="5"/>
        <v>15340</v>
      </c>
      <c r="S19" s="144">
        <f t="shared" si="1"/>
        <v>15340</v>
      </c>
      <c r="T19" s="85"/>
      <c r="U19" s="144"/>
      <c r="V19" s="85">
        <f t="shared" si="2"/>
        <v>17913.924166666668</v>
      </c>
      <c r="W19" s="144">
        <f t="shared" si="10"/>
        <v>140633.92416666666</v>
      </c>
      <c r="X19" s="144">
        <f t="shared" si="11"/>
        <v>24259.351918749999</v>
      </c>
      <c r="Y19" s="144">
        <f t="shared" si="3"/>
        <v>164893.27608541667</v>
      </c>
    </row>
    <row r="20" spans="1:25" ht="25.5">
      <c r="A20" s="78">
        <v>11</v>
      </c>
      <c r="B20" s="11" t="s">
        <v>149</v>
      </c>
      <c r="C20" s="141">
        <v>1</v>
      </c>
      <c r="D20" s="144">
        <v>7040</v>
      </c>
      <c r="E20" s="142">
        <v>1</v>
      </c>
      <c r="F20" s="144">
        <f t="shared" si="4"/>
        <v>7040</v>
      </c>
      <c r="G20" s="73"/>
      <c r="H20" s="144"/>
      <c r="I20" s="85"/>
      <c r="J20" s="85"/>
      <c r="K20" s="85"/>
      <c r="L20" s="85"/>
      <c r="M20" s="85"/>
      <c r="N20" s="73"/>
      <c r="O20" s="144">
        <f>3000+3700</f>
        <v>6700</v>
      </c>
      <c r="P20" s="73">
        <v>0.5</v>
      </c>
      <c r="Q20" s="144">
        <f t="shared" si="12"/>
        <v>3520</v>
      </c>
      <c r="R20" s="144">
        <f>+F20+H20+I20++K20+O20+Q20</f>
        <v>17260</v>
      </c>
      <c r="S20" s="144">
        <f t="shared" si="1"/>
        <v>17260</v>
      </c>
      <c r="T20" s="85"/>
      <c r="U20" s="144"/>
      <c r="V20" s="85">
        <f t="shared" si="2"/>
        <v>20156.084166666667</v>
      </c>
      <c r="W20" s="144">
        <f t="shared" si="10"/>
        <v>158236.08416666667</v>
      </c>
      <c r="X20" s="144">
        <f t="shared" si="11"/>
        <v>27295.724518749998</v>
      </c>
      <c r="Y20" s="144">
        <f t="shared" si="3"/>
        <v>185531.80868541668</v>
      </c>
    </row>
    <row r="21" spans="1:25">
      <c r="A21" s="78">
        <v>12</v>
      </c>
      <c r="B21" s="11" t="s">
        <v>170</v>
      </c>
      <c r="C21" s="141">
        <v>2</v>
      </c>
      <c r="D21" s="144">
        <v>7040</v>
      </c>
      <c r="E21" s="142">
        <v>1</v>
      </c>
      <c r="F21" s="144">
        <f t="shared" si="4"/>
        <v>7040</v>
      </c>
      <c r="G21" s="73"/>
      <c r="H21" s="144"/>
      <c r="I21" s="85"/>
      <c r="J21" s="85"/>
      <c r="K21" s="85"/>
      <c r="L21" s="85"/>
      <c r="M21" s="85"/>
      <c r="N21" s="73"/>
      <c r="O21" s="144">
        <f>3000+2700+1000</f>
        <v>6700</v>
      </c>
      <c r="P21" s="73">
        <v>0.5</v>
      </c>
      <c r="Q21" s="144">
        <f t="shared" si="12"/>
        <v>3520</v>
      </c>
      <c r="R21" s="144">
        <f t="shared" ref="R21" si="13">+F21+H21+I21++K21+O21+Q21</f>
        <v>17260</v>
      </c>
      <c r="S21" s="144">
        <f t="shared" si="1"/>
        <v>34520</v>
      </c>
      <c r="T21" s="85"/>
      <c r="U21" s="144"/>
      <c r="V21" s="85">
        <f t="shared" si="2"/>
        <v>40312.168333333335</v>
      </c>
      <c r="W21" s="144">
        <f t="shared" si="10"/>
        <v>316472.16833333333</v>
      </c>
      <c r="X21" s="144">
        <f t="shared" si="11"/>
        <v>54591.449037499995</v>
      </c>
      <c r="Y21" s="144">
        <f t="shared" si="3"/>
        <v>371063.61737083335</v>
      </c>
    </row>
    <row r="22" spans="1:25">
      <c r="A22" s="78">
        <v>13</v>
      </c>
      <c r="B22" s="11" t="s">
        <v>49</v>
      </c>
      <c r="C22" s="141">
        <v>8</v>
      </c>
      <c r="D22" s="144">
        <v>7040</v>
      </c>
      <c r="E22" s="142">
        <v>1</v>
      </c>
      <c r="F22" s="144">
        <f t="shared" si="4"/>
        <v>7040</v>
      </c>
      <c r="G22" s="73"/>
      <c r="H22" s="144"/>
      <c r="I22" s="85"/>
      <c r="J22" s="85"/>
      <c r="K22" s="85"/>
      <c r="L22" s="85"/>
      <c r="M22" s="85"/>
      <c r="N22" s="73"/>
      <c r="O22" s="144">
        <f>19000+5200</f>
        <v>24200</v>
      </c>
      <c r="P22" s="73"/>
      <c r="Q22" s="144">
        <f t="shared" si="12"/>
        <v>0</v>
      </c>
      <c r="R22" s="144">
        <f t="shared" si="5"/>
        <v>31240</v>
      </c>
      <c r="S22" s="144">
        <f t="shared" si="1"/>
        <v>249920</v>
      </c>
      <c r="T22" s="85"/>
      <c r="U22" s="144"/>
      <c r="V22" s="85">
        <f t="shared" si="2"/>
        <v>291854.49333333335</v>
      </c>
      <c r="W22" s="144">
        <f t="shared" si="10"/>
        <v>2291214.4933333332</v>
      </c>
      <c r="X22" s="144">
        <f t="shared" si="11"/>
        <v>395234.50009999995</v>
      </c>
      <c r="Y22" s="144">
        <f t="shared" si="3"/>
        <v>2686448.993433333</v>
      </c>
    </row>
    <row r="23" spans="1:25">
      <c r="A23" s="125"/>
      <c r="B23" s="125" t="s">
        <v>31</v>
      </c>
      <c r="C23" s="143">
        <f>SUM(C10:C22)</f>
        <v>51</v>
      </c>
      <c r="D23" s="145">
        <f>SUM(D10:D22)</f>
        <v>91520</v>
      </c>
      <c r="E23" s="100"/>
      <c r="F23" s="145">
        <f>SUM(F10:F22)</f>
        <v>98700.799999999988</v>
      </c>
      <c r="G23" s="100"/>
      <c r="H23" s="145">
        <f t="shared" ref="H23:M23" si="14">SUM(H10:H22)</f>
        <v>0</v>
      </c>
      <c r="I23" s="100">
        <f t="shared" si="14"/>
        <v>0</v>
      </c>
      <c r="J23" s="100">
        <f t="shared" si="14"/>
        <v>0</v>
      </c>
      <c r="K23" s="100">
        <f t="shared" si="14"/>
        <v>0</v>
      </c>
      <c r="L23" s="100">
        <f t="shared" si="14"/>
        <v>0</v>
      </c>
      <c r="M23" s="100">
        <f t="shared" si="14"/>
        <v>0</v>
      </c>
      <c r="N23" s="100"/>
      <c r="O23" s="145">
        <f>SUM(O10:O22)</f>
        <v>180720</v>
      </c>
      <c r="P23" s="100"/>
      <c r="Q23" s="145">
        <f t="shared" ref="Q23:Y23" si="15">SUM(Q10:Q22)</f>
        <v>17600</v>
      </c>
      <c r="R23" s="145">
        <f t="shared" si="15"/>
        <v>297020.79999999999</v>
      </c>
      <c r="S23" s="145">
        <f t="shared" si="15"/>
        <v>1336716</v>
      </c>
      <c r="T23" s="145">
        <f t="shared" si="15"/>
        <v>34727.381373873875</v>
      </c>
      <c r="U23" s="145">
        <f t="shared" si="15"/>
        <v>62451.199999999997</v>
      </c>
      <c r="V23" s="145">
        <f t="shared" si="15"/>
        <v>1561005.8055</v>
      </c>
      <c r="W23" s="145">
        <f t="shared" si="15"/>
        <v>12320686.786873873</v>
      </c>
      <c r="X23" s="145">
        <f t="shared" si="15"/>
        <v>2114545.6387357432</v>
      </c>
      <c r="Y23" s="145">
        <f t="shared" si="15"/>
        <v>14435232.425609615</v>
      </c>
    </row>
    <row r="24" spans="1:25">
      <c r="A24" s="434" t="s">
        <v>354</v>
      </c>
      <c r="B24" s="435"/>
      <c r="C24" s="435"/>
      <c r="D24" s="435"/>
      <c r="E24" s="435"/>
      <c r="F24" s="435"/>
      <c r="G24" s="435"/>
      <c r="H24" s="435"/>
      <c r="I24" s="435"/>
      <c r="J24" s="435"/>
      <c r="K24" s="435"/>
      <c r="L24" s="435"/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6"/>
    </row>
    <row r="25" spans="1:25">
      <c r="A25" s="78">
        <v>1</v>
      </c>
      <c r="B25" s="11" t="s">
        <v>32</v>
      </c>
      <c r="C25" s="141">
        <v>7</v>
      </c>
      <c r="D25" s="144">
        <v>7040</v>
      </c>
      <c r="E25" s="142">
        <v>1.4</v>
      </c>
      <c r="F25" s="144">
        <f t="shared" ref="F25" si="16">D25*E25</f>
        <v>9856</v>
      </c>
      <c r="G25" s="73"/>
      <c r="H25" s="144"/>
      <c r="I25" s="85"/>
      <c r="J25" s="85"/>
      <c r="K25" s="85"/>
      <c r="L25" s="85"/>
      <c r="M25" s="85"/>
      <c r="N25" s="73"/>
      <c r="O25" s="144">
        <f>18000+5200</f>
        <v>23200</v>
      </c>
      <c r="P25" s="85"/>
      <c r="Q25" s="85"/>
      <c r="R25" s="144">
        <f>+F25+H25+I25++K25+O25+Q25</f>
        <v>33056</v>
      </c>
      <c r="S25" s="144">
        <f t="shared" ref="S25:S37" si="17">R25*C25</f>
        <v>231392</v>
      </c>
      <c r="T25" s="85"/>
      <c r="U25" s="144"/>
      <c r="V25" s="85">
        <f t="shared" ref="V25:V37" si="18">(S25*14.0135)/12</f>
        <v>270217.64933333331</v>
      </c>
      <c r="W25" s="144">
        <f>(S25*8)+T25+U25+V25</f>
        <v>2121353.6493333331</v>
      </c>
      <c r="X25" s="144">
        <f>((S25*8)+T25+V25)*0.1725</f>
        <v>365933.50450999994</v>
      </c>
      <c r="Y25" s="144">
        <f t="shared" ref="Y25:Y37" si="19">W25+X25</f>
        <v>2487287.153843333</v>
      </c>
    </row>
    <row r="26" spans="1:25">
      <c r="A26" s="78">
        <v>2</v>
      </c>
      <c r="B26" s="11" t="s">
        <v>142</v>
      </c>
      <c r="C26" s="141">
        <v>2</v>
      </c>
      <c r="D26" s="144">
        <v>7040</v>
      </c>
      <c r="E26" s="142">
        <v>1.4</v>
      </c>
      <c r="F26" s="144">
        <f t="shared" ref="F26:F28" si="20">+D26*E26</f>
        <v>9856</v>
      </c>
      <c r="G26" s="73"/>
      <c r="H26" s="144"/>
      <c r="I26" s="85"/>
      <c r="J26" s="85"/>
      <c r="K26" s="85"/>
      <c r="L26" s="85"/>
      <c r="M26" s="85"/>
      <c r="N26" s="73"/>
      <c r="O26" s="144">
        <f>14500+4500</f>
        <v>19000</v>
      </c>
      <c r="P26" s="85"/>
      <c r="Q26" s="85"/>
      <c r="R26" s="144">
        <f t="shared" ref="R26:R28" si="21">+F26+H26+I26++K26+O26+Q26</f>
        <v>28856</v>
      </c>
      <c r="S26" s="144">
        <f t="shared" si="17"/>
        <v>57712</v>
      </c>
      <c r="T26" s="85"/>
      <c r="U26" s="144"/>
      <c r="V26" s="85">
        <f t="shared" si="18"/>
        <v>67395.592666666678</v>
      </c>
      <c r="W26" s="144">
        <f t="shared" ref="W26:W27" si="22">(S26*8)+T26+U26+V26</f>
        <v>529091.59266666672</v>
      </c>
      <c r="X26" s="144">
        <f t="shared" ref="X26:X27" si="23">((S26*8)+T26+V26)*0.1725</f>
        <v>91268.299735000008</v>
      </c>
      <c r="Y26" s="144">
        <f t="shared" si="19"/>
        <v>620359.89240166673</v>
      </c>
    </row>
    <row r="27" spans="1:25">
      <c r="A27" s="78">
        <v>3</v>
      </c>
      <c r="B27" s="11" t="s">
        <v>49</v>
      </c>
      <c r="C27" s="141">
        <v>12</v>
      </c>
      <c r="D27" s="144">
        <v>7040</v>
      </c>
      <c r="E27" s="142">
        <v>1.2</v>
      </c>
      <c r="F27" s="144">
        <f t="shared" si="20"/>
        <v>8448</v>
      </c>
      <c r="G27" s="73"/>
      <c r="H27" s="144"/>
      <c r="I27" s="85"/>
      <c r="J27" s="85"/>
      <c r="K27" s="85"/>
      <c r="L27" s="85"/>
      <c r="M27" s="85"/>
      <c r="N27" s="73"/>
      <c r="O27" s="144">
        <f>19000+5200</f>
        <v>24200</v>
      </c>
      <c r="P27" s="85"/>
      <c r="Q27" s="85"/>
      <c r="R27" s="144">
        <f t="shared" si="21"/>
        <v>32648</v>
      </c>
      <c r="S27" s="144">
        <f t="shared" si="17"/>
        <v>391776</v>
      </c>
      <c r="T27" s="85"/>
      <c r="U27" s="144"/>
      <c r="V27" s="85">
        <f t="shared" si="18"/>
        <v>457512.74799999996</v>
      </c>
      <c r="W27" s="144">
        <f t="shared" si="22"/>
        <v>3591720.7480000001</v>
      </c>
      <c r="X27" s="144">
        <f t="shared" si="23"/>
        <v>619571.82903000002</v>
      </c>
      <c r="Y27" s="144">
        <f t="shared" si="19"/>
        <v>4211292.5770300003</v>
      </c>
    </row>
    <row r="28" spans="1:25">
      <c r="A28" s="78">
        <v>4</v>
      </c>
      <c r="B28" s="11" t="s">
        <v>143</v>
      </c>
      <c r="C28" s="141">
        <v>1</v>
      </c>
      <c r="D28" s="144">
        <v>7040</v>
      </c>
      <c r="E28" s="142">
        <v>1.4</v>
      </c>
      <c r="F28" s="144">
        <f t="shared" si="20"/>
        <v>9856</v>
      </c>
      <c r="G28" s="73"/>
      <c r="H28" s="144"/>
      <c r="I28" s="85"/>
      <c r="J28" s="85"/>
      <c r="K28" s="85"/>
      <c r="L28" s="85"/>
      <c r="M28" s="85"/>
      <c r="N28" s="73"/>
      <c r="O28" s="144">
        <f>18000+5200</f>
        <v>23200</v>
      </c>
      <c r="P28" s="85"/>
      <c r="Q28" s="85"/>
      <c r="R28" s="144">
        <f t="shared" si="21"/>
        <v>33056</v>
      </c>
      <c r="S28" s="144">
        <f t="shared" si="17"/>
        <v>33056</v>
      </c>
      <c r="T28" s="85">
        <f t="shared" ref="T28" si="24">(((S28+(S28*14.0135/12/12)))*3/3/29.6)*30</f>
        <v>36763.050788288288</v>
      </c>
      <c r="U28" s="144">
        <f t="shared" ref="U28" si="25">S28*2</f>
        <v>66112</v>
      </c>
      <c r="V28" s="85">
        <f t="shared" si="18"/>
        <v>38602.52133333333</v>
      </c>
      <c r="W28" s="144">
        <f>(S28*7)+T28+U28+V28</f>
        <v>372869.57212162163</v>
      </c>
      <c r="X28" s="144">
        <f>((S28*7)+T28+V28)*0.1725</f>
        <v>52915.681190979725</v>
      </c>
      <c r="Y28" s="144">
        <f t="shared" si="19"/>
        <v>425785.25331260136</v>
      </c>
    </row>
    <row r="29" spans="1:25">
      <c r="A29" s="78">
        <v>5</v>
      </c>
      <c r="B29" s="11" t="s">
        <v>144</v>
      </c>
      <c r="C29" s="141">
        <v>5</v>
      </c>
      <c r="D29" s="144">
        <v>7040</v>
      </c>
      <c r="E29" s="142">
        <v>1.7</v>
      </c>
      <c r="F29" s="144">
        <f>+D29*E29</f>
        <v>11968</v>
      </c>
      <c r="G29" s="73"/>
      <c r="H29" s="144"/>
      <c r="I29" s="85"/>
      <c r="J29" s="85"/>
      <c r="K29" s="85"/>
      <c r="L29" s="85"/>
      <c r="M29" s="85"/>
      <c r="N29" s="73"/>
      <c r="O29" s="144">
        <f>12200+4700</f>
        <v>16900</v>
      </c>
      <c r="P29" s="85"/>
      <c r="Q29" s="85"/>
      <c r="R29" s="144">
        <f>+F29+H29+I29++K29+O29+Q29</f>
        <v>28868</v>
      </c>
      <c r="S29" s="144">
        <f t="shared" si="17"/>
        <v>144340</v>
      </c>
      <c r="T29" s="85"/>
      <c r="U29" s="144"/>
      <c r="V29" s="85">
        <f t="shared" si="18"/>
        <v>168559.04916666666</v>
      </c>
      <c r="W29" s="144">
        <f t="shared" ref="W29:W37" si="26">(S29*8)+T29+U29+V29</f>
        <v>1323279.0491666666</v>
      </c>
      <c r="X29" s="144">
        <f t="shared" ref="X29:X37" si="27">((S29*8)+T29+V29)*0.1725</f>
        <v>228265.63598124997</v>
      </c>
      <c r="Y29" s="144">
        <f t="shared" si="19"/>
        <v>1551544.6851479164</v>
      </c>
    </row>
    <row r="30" spans="1:25">
      <c r="A30" s="78">
        <v>6</v>
      </c>
      <c r="B30" s="11" t="s">
        <v>50</v>
      </c>
      <c r="C30" s="141">
        <v>3</v>
      </c>
      <c r="D30" s="144">
        <v>7040</v>
      </c>
      <c r="E30" s="142">
        <v>1.2</v>
      </c>
      <c r="F30" s="144">
        <f t="shared" ref="F30:F37" si="28">+D30*E30</f>
        <v>8448</v>
      </c>
      <c r="G30" s="73"/>
      <c r="H30" s="144"/>
      <c r="I30" s="85"/>
      <c r="J30" s="85"/>
      <c r="K30" s="85"/>
      <c r="L30" s="85"/>
      <c r="M30" s="85"/>
      <c r="N30" s="73"/>
      <c r="O30" s="144">
        <f>3000+2700</f>
        <v>5700</v>
      </c>
      <c r="P30" s="73">
        <v>0.5</v>
      </c>
      <c r="Q30" s="144">
        <f t="shared" ref="Q30:Q37" si="29">F30*P30</f>
        <v>4224</v>
      </c>
      <c r="R30" s="144">
        <f t="shared" ref="R30:R34" si="30">+F30+H30+I30++K30+O30+Q30</f>
        <v>18372</v>
      </c>
      <c r="S30" s="144">
        <f t="shared" si="17"/>
        <v>55116</v>
      </c>
      <c r="T30" s="85"/>
      <c r="U30" s="144"/>
      <c r="V30" s="85">
        <f t="shared" si="18"/>
        <v>64364.005499999999</v>
      </c>
      <c r="W30" s="144">
        <f t="shared" si="26"/>
        <v>505292.00549999997</v>
      </c>
      <c r="X30" s="144">
        <f t="shared" si="27"/>
        <v>87162.870948749987</v>
      </c>
      <c r="Y30" s="144">
        <f t="shared" si="19"/>
        <v>592454.87644874991</v>
      </c>
    </row>
    <row r="31" spans="1:25" ht="25.5">
      <c r="A31" s="78">
        <v>7</v>
      </c>
      <c r="B31" s="11" t="s">
        <v>145</v>
      </c>
      <c r="C31" s="141">
        <v>4</v>
      </c>
      <c r="D31" s="144">
        <v>7040</v>
      </c>
      <c r="E31" s="142">
        <v>1.2</v>
      </c>
      <c r="F31" s="144">
        <f t="shared" si="28"/>
        <v>8448</v>
      </c>
      <c r="G31" s="73"/>
      <c r="H31" s="144"/>
      <c r="I31" s="85"/>
      <c r="J31" s="85"/>
      <c r="K31" s="85"/>
      <c r="L31" s="85"/>
      <c r="M31" s="85"/>
      <c r="N31" s="73"/>
      <c r="O31" s="144">
        <f>3000+2700+1000</f>
        <v>6700</v>
      </c>
      <c r="P31" s="73">
        <v>0.5</v>
      </c>
      <c r="Q31" s="144">
        <f t="shared" si="29"/>
        <v>4224</v>
      </c>
      <c r="R31" s="144">
        <f t="shared" si="30"/>
        <v>19372</v>
      </c>
      <c r="S31" s="144">
        <f t="shared" si="17"/>
        <v>77488</v>
      </c>
      <c r="T31" s="85"/>
      <c r="U31" s="144"/>
      <c r="V31" s="85">
        <f t="shared" si="18"/>
        <v>90489.840666666671</v>
      </c>
      <c r="W31" s="144">
        <f t="shared" si="26"/>
        <v>710393.84066666663</v>
      </c>
      <c r="X31" s="144">
        <f t="shared" si="27"/>
        <v>122542.93751499998</v>
      </c>
      <c r="Y31" s="144">
        <f t="shared" si="19"/>
        <v>832936.77818166662</v>
      </c>
    </row>
    <row r="32" spans="1:25">
      <c r="A32" s="78">
        <v>8</v>
      </c>
      <c r="B32" s="11" t="s">
        <v>146</v>
      </c>
      <c r="C32" s="141">
        <v>4</v>
      </c>
      <c r="D32" s="144">
        <v>7040</v>
      </c>
      <c r="E32" s="142">
        <v>1.2</v>
      </c>
      <c r="F32" s="144">
        <f t="shared" si="28"/>
        <v>8448</v>
      </c>
      <c r="G32" s="73"/>
      <c r="H32" s="144"/>
      <c r="I32" s="85"/>
      <c r="J32" s="85"/>
      <c r="K32" s="85"/>
      <c r="L32" s="85"/>
      <c r="M32" s="85"/>
      <c r="N32" s="73"/>
      <c r="O32" s="144">
        <f>3000+2700</f>
        <v>5700</v>
      </c>
      <c r="P32" s="73">
        <v>0.5</v>
      </c>
      <c r="Q32" s="144">
        <f t="shared" si="29"/>
        <v>4224</v>
      </c>
      <c r="R32" s="144">
        <f t="shared" si="30"/>
        <v>18372</v>
      </c>
      <c r="S32" s="144">
        <f t="shared" si="17"/>
        <v>73488</v>
      </c>
      <c r="T32" s="85"/>
      <c r="U32" s="144"/>
      <c r="V32" s="85">
        <f t="shared" si="18"/>
        <v>85818.673999999999</v>
      </c>
      <c r="W32" s="144">
        <f t="shared" si="26"/>
        <v>673722.674</v>
      </c>
      <c r="X32" s="144">
        <f t="shared" si="27"/>
        <v>116217.16126499999</v>
      </c>
      <c r="Y32" s="144">
        <f t="shared" si="19"/>
        <v>789939.835265</v>
      </c>
    </row>
    <row r="33" spans="1:25">
      <c r="A33" s="78">
        <v>9</v>
      </c>
      <c r="B33" s="11" t="s">
        <v>147</v>
      </c>
      <c r="C33" s="141">
        <v>1</v>
      </c>
      <c r="D33" s="144">
        <v>7040</v>
      </c>
      <c r="E33" s="142">
        <v>1.2</v>
      </c>
      <c r="F33" s="144">
        <f t="shared" si="28"/>
        <v>8448</v>
      </c>
      <c r="G33" s="73"/>
      <c r="H33" s="144"/>
      <c r="I33" s="85"/>
      <c r="J33" s="85"/>
      <c r="K33" s="85"/>
      <c r="L33" s="85"/>
      <c r="M33" s="85"/>
      <c r="N33" s="73"/>
      <c r="O33" s="144">
        <v>10220</v>
      </c>
      <c r="P33" s="73"/>
      <c r="Q33" s="144">
        <f t="shared" si="29"/>
        <v>0</v>
      </c>
      <c r="R33" s="144">
        <f t="shared" si="30"/>
        <v>18668</v>
      </c>
      <c r="S33" s="144">
        <f t="shared" si="17"/>
        <v>18668</v>
      </c>
      <c r="T33" s="85"/>
      <c r="U33" s="144"/>
      <c r="V33" s="85">
        <f t="shared" si="18"/>
        <v>21800.334833333334</v>
      </c>
      <c r="W33" s="144">
        <f t="shared" si="26"/>
        <v>171144.33483333333</v>
      </c>
      <c r="X33" s="144">
        <f t="shared" si="27"/>
        <v>29522.397758749998</v>
      </c>
      <c r="Y33" s="144">
        <f t="shared" si="19"/>
        <v>200666.73259208334</v>
      </c>
    </row>
    <row r="34" spans="1:25">
      <c r="A34" s="78">
        <v>10</v>
      </c>
      <c r="B34" s="11" t="s">
        <v>148</v>
      </c>
      <c r="C34" s="141">
        <v>1</v>
      </c>
      <c r="D34" s="144">
        <v>7040</v>
      </c>
      <c r="E34" s="142">
        <v>1.2</v>
      </c>
      <c r="F34" s="144">
        <f t="shared" si="28"/>
        <v>8448</v>
      </c>
      <c r="G34" s="73"/>
      <c r="H34" s="144"/>
      <c r="I34" s="85"/>
      <c r="J34" s="85"/>
      <c r="K34" s="85"/>
      <c r="L34" s="85"/>
      <c r="M34" s="85"/>
      <c r="N34" s="73"/>
      <c r="O34" s="144">
        <f>5800+2500</f>
        <v>8300</v>
      </c>
      <c r="P34" s="73"/>
      <c r="Q34" s="144">
        <f t="shared" si="29"/>
        <v>0</v>
      </c>
      <c r="R34" s="144">
        <f t="shared" si="30"/>
        <v>16748</v>
      </c>
      <c r="S34" s="144">
        <f t="shared" si="17"/>
        <v>16748</v>
      </c>
      <c r="T34" s="85"/>
      <c r="U34" s="144"/>
      <c r="V34" s="85">
        <f t="shared" si="18"/>
        <v>19558.174833333334</v>
      </c>
      <c r="W34" s="144">
        <f t="shared" si="26"/>
        <v>153542.17483333332</v>
      </c>
      <c r="X34" s="144">
        <f t="shared" si="27"/>
        <v>26486.025158749995</v>
      </c>
      <c r="Y34" s="144">
        <f t="shared" si="19"/>
        <v>180028.1999920833</v>
      </c>
    </row>
    <row r="35" spans="1:25" ht="25.5">
      <c r="A35" s="78">
        <v>11</v>
      </c>
      <c r="B35" s="11" t="s">
        <v>149</v>
      </c>
      <c r="C35" s="141">
        <v>1</v>
      </c>
      <c r="D35" s="144">
        <v>7040</v>
      </c>
      <c r="E35" s="142">
        <v>1.2</v>
      </c>
      <c r="F35" s="144">
        <f t="shared" si="28"/>
        <v>8448</v>
      </c>
      <c r="G35" s="73"/>
      <c r="H35" s="144"/>
      <c r="I35" s="85"/>
      <c r="J35" s="85"/>
      <c r="K35" s="85"/>
      <c r="L35" s="85"/>
      <c r="M35" s="85"/>
      <c r="N35" s="73"/>
      <c r="O35" s="144">
        <f>3000+3700</f>
        <v>6700</v>
      </c>
      <c r="P35" s="73">
        <v>0.5</v>
      </c>
      <c r="Q35" s="144">
        <f t="shared" si="29"/>
        <v>4224</v>
      </c>
      <c r="R35" s="144">
        <f>+F35+H35+I35++K35+O35+Q35</f>
        <v>19372</v>
      </c>
      <c r="S35" s="144">
        <f t="shared" si="17"/>
        <v>19372</v>
      </c>
      <c r="T35" s="85"/>
      <c r="U35" s="144"/>
      <c r="V35" s="85">
        <f t="shared" si="18"/>
        <v>22622.460166666668</v>
      </c>
      <c r="W35" s="144">
        <f t="shared" si="26"/>
        <v>177598.46016666666</v>
      </c>
      <c r="X35" s="144">
        <f t="shared" si="27"/>
        <v>30635.734378749996</v>
      </c>
      <c r="Y35" s="144">
        <f t="shared" si="19"/>
        <v>208234.19454541666</v>
      </c>
    </row>
    <row r="36" spans="1:25">
      <c r="A36" s="78">
        <v>12</v>
      </c>
      <c r="B36" s="11" t="s">
        <v>170</v>
      </c>
      <c r="C36" s="141">
        <v>2</v>
      </c>
      <c r="D36" s="144">
        <v>7040</v>
      </c>
      <c r="E36" s="142">
        <v>1.2</v>
      </c>
      <c r="F36" s="144">
        <f t="shared" si="28"/>
        <v>8448</v>
      </c>
      <c r="G36" s="73"/>
      <c r="H36" s="144"/>
      <c r="I36" s="85"/>
      <c r="J36" s="85"/>
      <c r="K36" s="85"/>
      <c r="L36" s="85"/>
      <c r="M36" s="85"/>
      <c r="N36" s="73"/>
      <c r="O36" s="144">
        <f>3000+2700+1000</f>
        <v>6700</v>
      </c>
      <c r="P36" s="73">
        <v>0.5</v>
      </c>
      <c r="Q36" s="144">
        <f t="shared" si="29"/>
        <v>4224</v>
      </c>
      <c r="R36" s="144">
        <f t="shared" ref="R36:R37" si="31">+F36+H36+I36++K36+O36+Q36</f>
        <v>19372</v>
      </c>
      <c r="S36" s="144">
        <f t="shared" si="17"/>
        <v>38744</v>
      </c>
      <c r="T36" s="85"/>
      <c r="U36" s="144"/>
      <c r="V36" s="85">
        <f t="shared" si="18"/>
        <v>45244.920333333335</v>
      </c>
      <c r="W36" s="144">
        <f t="shared" si="26"/>
        <v>355196.92033333331</v>
      </c>
      <c r="X36" s="144">
        <f t="shared" si="27"/>
        <v>61271.468757499992</v>
      </c>
      <c r="Y36" s="144">
        <f t="shared" si="19"/>
        <v>416468.38909083331</v>
      </c>
    </row>
    <row r="37" spans="1:25">
      <c r="A37" s="78">
        <v>13</v>
      </c>
      <c r="B37" s="11" t="s">
        <v>49</v>
      </c>
      <c r="C37" s="141">
        <v>8</v>
      </c>
      <c r="D37" s="144">
        <v>7040</v>
      </c>
      <c r="E37" s="142">
        <v>1.2</v>
      </c>
      <c r="F37" s="144">
        <f t="shared" si="28"/>
        <v>8448</v>
      </c>
      <c r="G37" s="73"/>
      <c r="H37" s="144"/>
      <c r="I37" s="85"/>
      <c r="J37" s="85"/>
      <c r="K37" s="85"/>
      <c r="L37" s="85"/>
      <c r="M37" s="85"/>
      <c r="N37" s="73"/>
      <c r="O37" s="144">
        <f>19000+5200</f>
        <v>24200</v>
      </c>
      <c r="P37" s="73"/>
      <c r="Q37" s="144">
        <f t="shared" si="29"/>
        <v>0</v>
      </c>
      <c r="R37" s="144">
        <f t="shared" si="31"/>
        <v>32648</v>
      </c>
      <c r="S37" s="144">
        <f t="shared" si="17"/>
        <v>261184</v>
      </c>
      <c r="T37" s="85"/>
      <c r="U37" s="144"/>
      <c r="V37" s="85">
        <f t="shared" si="18"/>
        <v>305008.49866666668</v>
      </c>
      <c r="W37" s="144">
        <f t="shared" si="26"/>
        <v>2394480.4986666664</v>
      </c>
      <c r="X37" s="144">
        <f t="shared" si="27"/>
        <v>413047.88601999992</v>
      </c>
      <c r="Y37" s="144">
        <f t="shared" si="19"/>
        <v>2807528.3846866665</v>
      </c>
    </row>
    <row r="38" spans="1:25">
      <c r="A38" s="125"/>
      <c r="B38" s="125" t="s">
        <v>31</v>
      </c>
      <c r="C38" s="143">
        <f>SUM(C25:C37)</f>
        <v>51</v>
      </c>
      <c r="D38" s="145">
        <f>SUM(D25:D37)</f>
        <v>91520</v>
      </c>
      <c r="E38" s="100"/>
      <c r="F38" s="145">
        <f>SUM(F25:F37)</f>
        <v>117568</v>
      </c>
      <c r="G38" s="100"/>
      <c r="H38" s="145">
        <f t="shared" ref="H38:M38" si="32">SUM(H25:H37)</f>
        <v>0</v>
      </c>
      <c r="I38" s="100">
        <f t="shared" si="32"/>
        <v>0</v>
      </c>
      <c r="J38" s="100">
        <f t="shared" si="32"/>
        <v>0</v>
      </c>
      <c r="K38" s="100">
        <f t="shared" si="32"/>
        <v>0</v>
      </c>
      <c r="L38" s="100">
        <f t="shared" si="32"/>
        <v>0</v>
      </c>
      <c r="M38" s="100">
        <f t="shared" si="32"/>
        <v>0</v>
      </c>
      <c r="N38" s="100"/>
      <c r="O38" s="145">
        <f>SUM(O25:O37)</f>
        <v>180720</v>
      </c>
      <c r="P38" s="100"/>
      <c r="Q38" s="145">
        <f t="shared" ref="Q38:Y38" si="33">SUM(Q25:Q37)</f>
        <v>21120</v>
      </c>
      <c r="R38" s="145">
        <f t="shared" si="33"/>
        <v>319408</v>
      </c>
      <c r="S38" s="145">
        <f t="shared" si="33"/>
        <v>1419084</v>
      </c>
      <c r="T38" s="145">
        <f t="shared" si="33"/>
        <v>36763.050788288288</v>
      </c>
      <c r="U38" s="145">
        <f t="shared" si="33"/>
        <v>66112</v>
      </c>
      <c r="V38" s="145">
        <f t="shared" si="33"/>
        <v>1657194.4695000001</v>
      </c>
      <c r="W38" s="145">
        <f t="shared" si="33"/>
        <v>13079685.520288289</v>
      </c>
      <c r="X38" s="145">
        <f t="shared" si="33"/>
        <v>2244841.4322497295</v>
      </c>
      <c r="Y38" s="145">
        <f t="shared" si="33"/>
        <v>15324526.952538017</v>
      </c>
    </row>
    <row r="41" spans="1:25">
      <c r="B41" s="451" t="s">
        <v>519</v>
      </c>
      <c r="C41" s="450"/>
      <c r="D41" s="450"/>
      <c r="E41" s="450"/>
      <c r="F41" s="450"/>
      <c r="G41" s="450"/>
      <c r="H41" s="450"/>
      <c r="I41" s="450"/>
      <c r="J41" s="450"/>
      <c r="K41" s="450"/>
      <c r="L41" s="450"/>
      <c r="M41" s="450"/>
      <c r="N41" s="450"/>
      <c r="O41" s="450"/>
      <c r="P41" s="450"/>
      <c r="Q41" s="450"/>
      <c r="R41" s="450"/>
      <c r="S41" s="450"/>
      <c r="T41" s="450"/>
      <c r="U41" s="450"/>
      <c r="V41" s="450"/>
      <c r="W41" s="450"/>
      <c r="X41" s="450"/>
      <c r="Y41" s="450"/>
    </row>
  </sheetData>
  <mergeCells count="26">
    <mergeCell ref="B41:Y41"/>
    <mergeCell ref="X1:Y1"/>
    <mergeCell ref="A3:Y3"/>
    <mergeCell ref="A4:R4"/>
    <mergeCell ref="A5:A7"/>
    <mergeCell ref="B5:B7"/>
    <mergeCell ref="C5:C7"/>
    <mergeCell ref="D5:D7"/>
    <mergeCell ref="E5:E7"/>
    <mergeCell ref="F5:F7"/>
    <mergeCell ref="G5:Q5"/>
    <mergeCell ref="S5:S6"/>
    <mergeCell ref="T5:T6"/>
    <mergeCell ref="U5:U6"/>
    <mergeCell ref="Y5:Y6"/>
    <mergeCell ref="G6:H6"/>
    <mergeCell ref="J6:K6"/>
    <mergeCell ref="W5:W6"/>
    <mergeCell ref="A9:Y9"/>
    <mergeCell ref="A24:Y24"/>
    <mergeCell ref="X5:X6"/>
    <mergeCell ref="R5:R6"/>
    <mergeCell ref="L6:M6"/>
    <mergeCell ref="N6:O6"/>
    <mergeCell ref="P6:Q6"/>
    <mergeCell ref="V5:V6"/>
  </mergeCells>
  <pageMargins left="0" right="0" top="0.74803149606299213" bottom="0.74803149606299213" header="0.31496062992125984" footer="0.31496062992125984"/>
  <pageSetup paperSize="9" scale="87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</sheetPr>
  <dimension ref="A1:Z41"/>
  <sheetViews>
    <sheetView view="pageBreakPreview" topLeftCell="A14" zoomScaleNormal="85" zoomScaleSheetLayoutView="100" workbookViewId="0">
      <selection activeCell="V39" sqref="V39:W39"/>
    </sheetView>
  </sheetViews>
  <sheetFormatPr defaultColWidth="9.140625" defaultRowHeight="12.75"/>
  <cols>
    <col min="1" max="1" width="3.28515625" style="64" bestFit="1" customWidth="1"/>
    <col min="2" max="2" width="24.7109375" style="64" customWidth="1"/>
    <col min="3" max="3" width="4.42578125" style="64" customWidth="1"/>
    <col min="4" max="4" width="9.28515625" style="64" customWidth="1"/>
    <col min="5" max="5" width="5.5703125" style="64" customWidth="1"/>
    <col min="6" max="6" width="11" style="64" customWidth="1"/>
    <col min="7" max="7" width="6" style="64" customWidth="1"/>
    <col min="8" max="8" width="7.5703125" style="64" customWidth="1"/>
    <col min="9" max="13" width="6" style="64" hidden="1" customWidth="1"/>
    <col min="14" max="14" width="6" style="64" customWidth="1"/>
    <col min="15" max="15" width="8.28515625" style="64" customWidth="1"/>
    <col min="16" max="16" width="6" style="64" customWidth="1"/>
    <col min="17" max="17" width="6.7109375" style="64" customWidth="1"/>
    <col min="18" max="18" width="8.42578125" style="64" customWidth="1"/>
    <col min="19" max="19" width="9.28515625" style="64" customWidth="1"/>
    <col min="20" max="20" width="9.140625" style="64" customWidth="1"/>
    <col min="21" max="21" width="9.5703125" style="64" customWidth="1"/>
    <col min="22" max="22" width="9.7109375" style="64" customWidth="1"/>
    <col min="23" max="23" width="10.5703125" style="64" customWidth="1"/>
    <col min="24" max="24" width="9.42578125" style="64" customWidth="1"/>
    <col min="25" max="25" width="10.5703125" style="64" customWidth="1"/>
    <col min="26" max="16384" width="9.140625" style="64"/>
  </cols>
  <sheetData>
    <row r="1" spans="1:25" s="5" customFormat="1" ht="67.150000000000006" customHeight="1">
      <c r="B1" s="102"/>
      <c r="X1" s="399" t="s">
        <v>521</v>
      </c>
      <c r="Y1" s="399"/>
    </row>
    <row r="2" spans="1:25" s="5" customFormat="1">
      <c r="B2" s="102"/>
      <c r="Y2" s="1"/>
    </row>
    <row r="3" spans="1:25" s="5" customFormat="1">
      <c r="A3" s="442" t="s">
        <v>150</v>
      </c>
      <c r="B3" s="442"/>
      <c r="C3" s="442"/>
      <c r="D3" s="442"/>
      <c r="E3" s="442"/>
      <c r="F3" s="442"/>
      <c r="G3" s="442"/>
      <c r="H3" s="442"/>
      <c r="I3" s="442"/>
      <c r="J3" s="442"/>
      <c r="K3" s="442"/>
      <c r="L3" s="442"/>
      <c r="M3" s="442"/>
      <c r="N3" s="442"/>
      <c r="O3" s="442"/>
      <c r="P3" s="442"/>
      <c r="Q3" s="442"/>
      <c r="R3" s="442"/>
      <c r="S3" s="442"/>
      <c r="T3" s="442"/>
      <c r="U3" s="442"/>
      <c r="V3" s="442"/>
      <c r="W3" s="442"/>
      <c r="X3" s="442"/>
      <c r="Y3" s="442"/>
    </row>
    <row r="4" spans="1:25" s="5" customFormat="1">
      <c r="A4" s="442"/>
      <c r="B4" s="442"/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2"/>
      <c r="O4" s="442"/>
      <c r="P4" s="442"/>
      <c r="Q4" s="442"/>
    </row>
    <row r="5" spans="1:25" ht="17.25" customHeight="1"/>
    <row r="6" spans="1:25" ht="17.25" customHeight="1">
      <c r="A6" s="441" t="s">
        <v>0</v>
      </c>
      <c r="B6" s="441" t="s">
        <v>20</v>
      </c>
      <c r="C6" s="441" t="s">
        <v>21</v>
      </c>
      <c r="D6" s="441" t="s">
        <v>22</v>
      </c>
      <c r="E6" s="441" t="s">
        <v>103</v>
      </c>
      <c r="F6" s="443" t="s">
        <v>23</v>
      </c>
      <c r="G6" s="434" t="s">
        <v>104</v>
      </c>
      <c r="H6" s="435"/>
      <c r="I6" s="435"/>
      <c r="J6" s="435"/>
      <c r="K6" s="435"/>
      <c r="L6" s="435"/>
      <c r="M6" s="435"/>
      <c r="N6" s="435"/>
      <c r="O6" s="435"/>
      <c r="P6" s="435"/>
      <c r="Q6" s="436"/>
      <c r="R6" s="441" t="s">
        <v>28</v>
      </c>
      <c r="S6" s="441" t="s">
        <v>167</v>
      </c>
      <c r="T6" s="441" t="s">
        <v>105</v>
      </c>
      <c r="U6" s="441" t="s">
        <v>106</v>
      </c>
      <c r="V6" s="441" t="s">
        <v>108</v>
      </c>
      <c r="W6" s="437" t="s">
        <v>110</v>
      </c>
      <c r="X6" s="437" t="s">
        <v>111</v>
      </c>
      <c r="Y6" s="437" t="s">
        <v>112</v>
      </c>
    </row>
    <row r="7" spans="1:25" ht="113.45" customHeight="1">
      <c r="A7" s="441"/>
      <c r="B7" s="441"/>
      <c r="C7" s="441"/>
      <c r="D7" s="441"/>
      <c r="E7" s="441"/>
      <c r="F7" s="443"/>
      <c r="G7" s="441" t="s">
        <v>85</v>
      </c>
      <c r="H7" s="441"/>
      <c r="I7" s="127" t="s">
        <v>25</v>
      </c>
      <c r="J7" s="441" t="s">
        <v>24</v>
      </c>
      <c r="K7" s="441"/>
      <c r="L7" s="444" t="s">
        <v>134</v>
      </c>
      <c r="M7" s="445"/>
      <c r="N7" s="441" t="s">
        <v>26</v>
      </c>
      <c r="O7" s="441"/>
      <c r="P7" s="439" t="s">
        <v>115</v>
      </c>
      <c r="Q7" s="440"/>
      <c r="R7" s="441"/>
      <c r="S7" s="441"/>
      <c r="T7" s="441"/>
      <c r="U7" s="441"/>
      <c r="V7" s="441"/>
      <c r="W7" s="438"/>
      <c r="X7" s="438"/>
      <c r="Y7" s="438"/>
    </row>
    <row r="8" spans="1:25" ht="18.600000000000001" customHeight="1">
      <c r="A8" s="441"/>
      <c r="B8" s="441"/>
      <c r="C8" s="441"/>
      <c r="D8" s="441"/>
      <c r="E8" s="441"/>
      <c r="F8" s="443"/>
      <c r="G8" s="125" t="s">
        <v>3</v>
      </c>
      <c r="H8" s="125" t="s">
        <v>29</v>
      </c>
      <c r="I8" s="125" t="s">
        <v>29</v>
      </c>
      <c r="J8" s="125" t="s">
        <v>3</v>
      </c>
      <c r="K8" s="125" t="s">
        <v>29</v>
      </c>
      <c r="L8" s="125" t="s">
        <v>3</v>
      </c>
      <c r="M8" s="125" t="s">
        <v>29</v>
      </c>
      <c r="N8" s="125" t="s">
        <v>3</v>
      </c>
      <c r="O8" s="125" t="s">
        <v>29</v>
      </c>
      <c r="P8" s="125" t="s">
        <v>3</v>
      </c>
      <c r="Q8" s="125" t="s">
        <v>29</v>
      </c>
      <c r="R8" s="125" t="s">
        <v>29</v>
      </c>
      <c r="S8" s="125" t="s">
        <v>29</v>
      </c>
      <c r="T8" s="125" t="s">
        <v>29</v>
      </c>
      <c r="U8" s="125" t="s">
        <v>29</v>
      </c>
      <c r="V8" s="125" t="s">
        <v>29</v>
      </c>
      <c r="W8" s="125" t="s">
        <v>29</v>
      </c>
      <c r="X8" s="125" t="s">
        <v>29</v>
      </c>
      <c r="Y8" s="125" t="s">
        <v>29</v>
      </c>
    </row>
    <row r="9" spans="1:25" ht="22.15" customHeight="1">
      <c r="A9" s="125">
        <v>1</v>
      </c>
      <c r="B9" s="125">
        <v>2</v>
      </c>
      <c r="C9" s="125">
        <v>3</v>
      </c>
      <c r="D9" s="125">
        <v>4</v>
      </c>
      <c r="E9" s="125">
        <v>5</v>
      </c>
      <c r="F9" s="125">
        <v>6</v>
      </c>
      <c r="G9" s="125">
        <v>7</v>
      </c>
      <c r="H9" s="125">
        <v>8</v>
      </c>
      <c r="I9" s="125">
        <v>9</v>
      </c>
      <c r="J9" s="125">
        <v>10</v>
      </c>
      <c r="K9" s="125">
        <v>11</v>
      </c>
      <c r="L9" s="125">
        <v>12</v>
      </c>
      <c r="M9" s="125">
        <v>13</v>
      </c>
      <c r="N9" s="125">
        <v>9</v>
      </c>
      <c r="O9" s="125">
        <v>10</v>
      </c>
      <c r="P9" s="125">
        <v>11</v>
      </c>
      <c r="Q9" s="125">
        <v>12</v>
      </c>
      <c r="R9" s="125">
        <v>13</v>
      </c>
      <c r="S9" s="125">
        <v>14</v>
      </c>
      <c r="T9" s="125">
        <v>15</v>
      </c>
      <c r="U9" s="125">
        <v>16</v>
      </c>
      <c r="V9" s="125">
        <v>18</v>
      </c>
      <c r="W9" s="125">
        <v>20</v>
      </c>
      <c r="X9" s="125">
        <v>21</v>
      </c>
      <c r="Y9" s="125">
        <v>22</v>
      </c>
    </row>
    <row r="10" spans="1:25">
      <c r="A10" s="434" t="s">
        <v>354</v>
      </c>
      <c r="B10" s="435"/>
      <c r="C10" s="435"/>
      <c r="D10" s="435"/>
      <c r="E10" s="435"/>
      <c r="F10" s="435"/>
      <c r="G10" s="435"/>
      <c r="H10" s="435"/>
      <c r="I10" s="435"/>
      <c r="J10" s="435"/>
      <c r="K10" s="435"/>
      <c r="L10" s="435"/>
      <c r="M10" s="435"/>
      <c r="N10" s="435"/>
      <c r="O10" s="435"/>
      <c r="P10" s="435"/>
      <c r="Q10" s="435"/>
      <c r="R10" s="435"/>
      <c r="S10" s="435"/>
      <c r="T10" s="435"/>
      <c r="U10" s="435"/>
      <c r="V10" s="435"/>
      <c r="W10" s="435"/>
      <c r="X10" s="435"/>
      <c r="Y10" s="436"/>
    </row>
    <row r="11" spans="1:25">
      <c r="A11" s="78">
        <v>1</v>
      </c>
      <c r="B11" s="12" t="s">
        <v>37</v>
      </c>
      <c r="C11" s="97">
        <v>1</v>
      </c>
      <c r="D11" s="144">
        <v>7040</v>
      </c>
      <c r="E11" s="98">
        <v>1.6</v>
      </c>
      <c r="F11" s="144">
        <f t="shared" ref="F11:F20" si="0">+D11*E11</f>
        <v>11264</v>
      </c>
      <c r="G11" s="73"/>
      <c r="H11" s="144"/>
      <c r="I11" s="70"/>
      <c r="J11" s="70"/>
      <c r="K11" s="70"/>
      <c r="L11" s="73"/>
      <c r="M11" s="80"/>
      <c r="N11" s="73"/>
      <c r="O11" s="144">
        <f>14000+5000</f>
        <v>19000</v>
      </c>
      <c r="P11" s="73"/>
      <c r="Q11" s="144"/>
      <c r="R11" s="144">
        <f t="shared" ref="R11:R22" si="1">+F11+H11+I11+K11+O11+Q11</f>
        <v>30264</v>
      </c>
      <c r="S11" s="144">
        <f t="shared" ref="S11:S22" si="2">R11*C11</f>
        <v>30264</v>
      </c>
      <c r="T11" s="85">
        <f t="shared" ref="T11:T22" si="3">(((S11+(S11*14.0135/12/12)))*3/3/29.6)*30</f>
        <v>33657.943158783783</v>
      </c>
      <c r="U11" s="144">
        <f t="shared" ref="U11:U22" si="4">S11*2</f>
        <v>60528</v>
      </c>
      <c r="V11" s="85">
        <f t="shared" ref="V11:V13" si="5">(S11*14.0135)/12</f>
        <v>35342.046999999999</v>
      </c>
      <c r="W11" s="144">
        <f>(S11*5)+T11+U11+V11</f>
        <v>280847.9901587838</v>
      </c>
      <c r="X11" s="144">
        <f>((S11*5)+T11+V11)*0.1725</f>
        <v>38005.198302390199</v>
      </c>
      <c r="Y11" s="144">
        <f t="shared" ref="Y11:Y22" si="6">W11+X11</f>
        <v>318853.18846117402</v>
      </c>
    </row>
    <row r="12" spans="1:25">
      <c r="A12" s="78">
        <v>2</v>
      </c>
      <c r="B12" s="12" t="s">
        <v>151</v>
      </c>
      <c r="C12" s="97">
        <v>10</v>
      </c>
      <c r="D12" s="144">
        <v>7040</v>
      </c>
      <c r="E12" s="103">
        <v>1.6</v>
      </c>
      <c r="F12" s="144">
        <f t="shared" si="0"/>
        <v>11264</v>
      </c>
      <c r="G12" s="79"/>
      <c r="H12" s="144"/>
      <c r="I12" s="79"/>
      <c r="J12" s="79"/>
      <c r="K12" s="79"/>
      <c r="L12" s="73"/>
      <c r="M12" s="80"/>
      <c r="N12" s="73"/>
      <c r="O12" s="144">
        <f>12000+4600</f>
        <v>16600</v>
      </c>
      <c r="P12" s="73"/>
      <c r="Q12" s="144">
        <f>+P12*F12</f>
        <v>0</v>
      </c>
      <c r="R12" s="144">
        <f t="shared" si="1"/>
        <v>27864</v>
      </c>
      <c r="S12" s="144">
        <f t="shared" si="2"/>
        <v>278640</v>
      </c>
      <c r="T12" s="85">
        <f t="shared" si="3"/>
        <v>309887.9619932432</v>
      </c>
      <c r="U12" s="144">
        <f t="shared" si="4"/>
        <v>557280</v>
      </c>
      <c r="V12" s="85">
        <f t="shared" si="5"/>
        <v>325393.47000000003</v>
      </c>
      <c r="W12" s="144">
        <f t="shared" ref="W12:W22" si="7">(S12*5)+T12+U12+V12</f>
        <v>2585761.4319932433</v>
      </c>
      <c r="X12" s="144">
        <f t="shared" ref="X12:X22" si="8">((S12*5)+T12+V12)*0.1725</f>
        <v>349913.04701883439</v>
      </c>
      <c r="Y12" s="144">
        <f t="shared" si="6"/>
        <v>2935674.4790120777</v>
      </c>
    </row>
    <row r="13" spans="1:25">
      <c r="A13" s="78">
        <v>3</v>
      </c>
      <c r="B13" s="11" t="s">
        <v>152</v>
      </c>
      <c r="C13" s="97">
        <v>26</v>
      </c>
      <c r="D13" s="144">
        <v>7040</v>
      </c>
      <c r="E13" s="103">
        <v>1</v>
      </c>
      <c r="F13" s="144">
        <f t="shared" si="0"/>
        <v>7040</v>
      </c>
      <c r="G13" s="73"/>
      <c r="H13" s="144"/>
      <c r="I13" s="70"/>
      <c r="J13" s="70"/>
      <c r="K13" s="70"/>
      <c r="L13" s="73"/>
      <c r="M13" s="80"/>
      <c r="N13" s="73"/>
      <c r="O13" s="144">
        <f>19000+5200</f>
        <v>24200</v>
      </c>
      <c r="P13" s="73"/>
      <c r="Q13" s="144">
        <f>+P13*F13</f>
        <v>0</v>
      </c>
      <c r="R13" s="144">
        <f t="shared" si="1"/>
        <v>31240</v>
      </c>
      <c r="S13" s="144">
        <f t="shared" si="2"/>
        <v>812240</v>
      </c>
      <c r="T13" s="85">
        <f t="shared" si="3"/>
        <v>903328.30264639645</v>
      </c>
      <c r="U13" s="144">
        <f t="shared" si="4"/>
        <v>1624480</v>
      </c>
      <c r="V13" s="85">
        <f t="shared" si="5"/>
        <v>948527.10333333339</v>
      </c>
      <c r="W13" s="144">
        <f t="shared" si="7"/>
        <v>7537535.4059797302</v>
      </c>
      <c r="X13" s="144">
        <f t="shared" si="8"/>
        <v>1020002.0575315034</v>
      </c>
      <c r="Y13" s="144">
        <f t="shared" si="6"/>
        <v>8557537.4635112341</v>
      </c>
    </row>
    <row r="14" spans="1:25" ht="25.5">
      <c r="A14" s="78">
        <v>4</v>
      </c>
      <c r="B14" s="11" t="s">
        <v>153</v>
      </c>
      <c r="C14" s="97">
        <v>20</v>
      </c>
      <c r="D14" s="144">
        <v>7040</v>
      </c>
      <c r="E14" s="103">
        <v>1</v>
      </c>
      <c r="F14" s="144">
        <f t="shared" si="0"/>
        <v>7040</v>
      </c>
      <c r="G14" s="73"/>
      <c r="H14" s="144"/>
      <c r="I14" s="70"/>
      <c r="J14" s="70"/>
      <c r="K14" s="70"/>
      <c r="L14" s="73"/>
      <c r="M14" s="80"/>
      <c r="N14" s="73"/>
      <c r="O14" s="144">
        <f>19000+5200</f>
        <v>24200</v>
      </c>
      <c r="P14" s="73"/>
      <c r="Q14" s="144">
        <f>+P14*F14</f>
        <v>0</v>
      </c>
      <c r="R14" s="144">
        <f t="shared" si="1"/>
        <v>31240</v>
      </c>
      <c r="S14" s="144">
        <f t="shared" si="2"/>
        <v>624800</v>
      </c>
      <c r="T14" s="85"/>
      <c r="U14" s="144"/>
      <c r="V14" s="85"/>
      <c r="W14" s="144">
        <f t="shared" si="7"/>
        <v>3124000</v>
      </c>
      <c r="X14" s="144">
        <f t="shared" si="8"/>
        <v>538890</v>
      </c>
      <c r="Y14" s="144">
        <f t="shared" si="6"/>
        <v>3662890</v>
      </c>
    </row>
    <row r="15" spans="1:25">
      <c r="A15" s="78">
        <v>5</v>
      </c>
      <c r="B15" s="11" t="s">
        <v>184</v>
      </c>
      <c r="C15" s="97">
        <v>1</v>
      </c>
      <c r="D15" s="144">
        <v>7040</v>
      </c>
      <c r="E15" s="103">
        <v>1</v>
      </c>
      <c r="F15" s="144">
        <f t="shared" si="0"/>
        <v>7040</v>
      </c>
      <c r="G15" s="73"/>
      <c r="H15" s="144"/>
      <c r="I15" s="70"/>
      <c r="J15" s="73"/>
      <c r="K15" s="79"/>
      <c r="L15" s="73"/>
      <c r="M15" s="80"/>
      <c r="N15" s="73"/>
      <c r="O15" s="144">
        <v>7392</v>
      </c>
      <c r="P15" s="73"/>
      <c r="Q15" s="144"/>
      <c r="R15" s="144">
        <f t="shared" si="1"/>
        <v>14432</v>
      </c>
      <c r="S15" s="144">
        <f t="shared" si="2"/>
        <v>14432</v>
      </c>
      <c r="T15" s="85"/>
      <c r="U15" s="144"/>
      <c r="V15" s="85"/>
      <c r="W15" s="144">
        <f t="shared" si="7"/>
        <v>72160</v>
      </c>
      <c r="X15" s="144">
        <f t="shared" si="8"/>
        <v>12447.599999999999</v>
      </c>
      <c r="Y15" s="144">
        <f t="shared" si="6"/>
        <v>84607.6</v>
      </c>
    </row>
    <row r="16" spans="1:25">
      <c r="A16" s="78">
        <v>6</v>
      </c>
      <c r="B16" s="11" t="s">
        <v>36</v>
      </c>
      <c r="C16" s="97">
        <v>1</v>
      </c>
      <c r="D16" s="144">
        <v>7040</v>
      </c>
      <c r="E16" s="103">
        <v>1</v>
      </c>
      <c r="F16" s="144">
        <f t="shared" si="0"/>
        <v>7040</v>
      </c>
      <c r="G16" s="73"/>
      <c r="H16" s="144"/>
      <c r="I16" s="70"/>
      <c r="J16" s="70"/>
      <c r="K16" s="70"/>
      <c r="L16" s="73"/>
      <c r="M16" s="80"/>
      <c r="N16" s="73"/>
      <c r="O16" s="144">
        <f>4000+2500</f>
        <v>6500</v>
      </c>
      <c r="P16" s="73">
        <v>0.25</v>
      </c>
      <c r="Q16" s="144">
        <f>+P16*F16</f>
        <v>1760</v>
      </c>
      <c r="R16" s="144">
        <f t="shared" si="1"/>
        <v>15300</v>
      </c>
      <c r="S16" s="144">
        <f t="shared" si="2"/>
        <v>15300</v>
      </c>
      <c r="T16" s="85">
        <f t="shared" si="3"/>
        <v>17015.811866554053</v>
      </c>
      <c r="U16" s="144">
        <f t="shared" si="4"/>
        <v>30600</v>
      </c>
      <c r="V16" s="85">
        <f t="shared" ref="V16:V22" si="9">(S16*14.0135)/12</f>
        <v>17867.212500000001</v>
      </c>
      <c r="W16" s="144">
        <f t="shared" si="7"/>
        <v>141983.02436655405</v>
      </c>
      <c r="X16" s="144">
        <f t="shared" si="8"/>
        <v>19213.571703230573</v>
      </c>
      <c r="Y16" s="144">
        <f t="shared" si="6"/>
        <v>161196.59606978463</v>
      </c>
    </row>
    <row r="17" spans="1:26">
      <c r="A17" s="78">
        <v>7</v>
      </c>
      <c r="B17" s="11" t="s">
        <v>33</v>
      </c>
      <c r="C17" s="97">
        <v>3</v>
      </c>
      <c r="D17" s="144">
        <v>7040</v>
      </c>
      <c r="E17" s="103">
        <v>1</v>
      </c>
      <c r="F17" s="144">
        <f t="shared" si="0"/>
        <v>7040</v>
      </c>
      <c r="G17" s="73"/>
      <c r="H17" s="144"/>
      <c r="I17" s="70"/>
      <c r="J17" s="70"/>
      <c r="K17" s="70"/>
      <c r="L17" s="73"/>
      <c r="M17" s="80"/>
      <c r="N17" s="73"/>
      <c r="O17" s="144">
        <f>3000+2700</f>
        <v>5700</v>
      </c>
      <c r="P17" s="73">
        <v>0.5</v>
      </c>
      <c r="Q17" s="144">
        <f>+P17*F17</f>
        <v>3520</v>
      </c>
      <c r="R17" s="144">
        <f t="shared" si="1"/>
        <v>16260</v>
      </c>
      <c r="S17" s="144">
        <f t="shared" si="2"/>
        <v>48780</v>
      </c>
      <c r="T17" s="85">
        <f t="shared" si="3"/>
        <v>54250.411951013513</v>
      </c>
      <c r="U17" s="144">
        <f t="shared" si="4"/>
        <v>97560</v>
      </c>
      <c r="V17" s="85">
        <f t="shared" si="9"/>
        <v>56964.877500000002</v>
      </c>
      <c r="W17" s="144">
        <f t="shared" si="7"/>
        <v>452675.28945101349</v>
      </c>
      <c r="X17" s="144">
        <f t="shared" si="8"/>
        <v>61257.387430299823</v>
      </c>
      <c r="Y17" s="144">
        <f t="shared" si="6"/>
        <v>513932.67688131332</v>
      </c>
    </row>
    <row r="18" spans="1:26">
      <c r="A18" s="78">
        <v>8</v>
      </c>
      <c r="B18" s="11" t="s">
        <v>38</v>
      </c>
      <c r="C18" s="97">
        <v>1</v>
      </c>
      <c r="D18" s="144">
        <v>7040</v>
      </c>
      <c r="E18" s="103">
        <v>1</v>
      </c>
      <c r="F18" s="144">
        <f t="shared" si="0"/>
        <v>7040</v>
      </c>
      <c r="G18" s="73"/>
      <c r="H18" s="144"/>
      <c r="I18" s="70"/>
      <c r="J18" s="70"/>
      <c r="K18" s="70"/>
      <c r="L18" s="73"/>
      <c r="M18" s="80"/>
      <c r="N18" s="73"/>
      <c r="O18" s="144">
        <f>7200+2800</f>
        <v>10000</v>
      </c>
      <c r="P18" s="73"/>
      <c r="Q18" s="144"/>
      <c r="R18" s="144">
        <f t="shared" si="1"/>
        <v>17040</v>
      </c>
      <c r="S18" s="144">
        <f t="shared" si="2"/>
        <v>17040</v>
      </c>
      <c r="T18" s="85">
        <f t="shared" si="3"/>
        <v>18950.94341216216</v>
      </c>
      <c r="U18" s="144">
        <f t="shared" si="4"/>
        <v>34080</v>
      </c>
      <c r="V18" s="85">
        <f t="shared" si="9"/>
        <v>19899.170000000002</v>
      </c>
      <c r="W18" s="144">
        <f t="shared" si="7"/>
        <v>158130.11341216217</v>
      </c>
      <c r="X18" s="144">
        <f t="shared" si="8"/>
        <v>21398.644563597969</v>
      </c>
      <c r="Y18" s="144">
        <f t="shared" si="6"/>
        <v>179528.75797576015</v>
      </c>
    </row>
    <row r="19" spans="1:26">
      <c r="A19" s="78">
        <v>9</v>
      </c>
      <c r="B19" s="11" t="s">
        <v>154</v>
      </c>
      <c r="C19" s="97">
        <v>12</v>
      </c>
      <c r="D19" s="144">
        <v>7040</v>
      </c>
      <c r="E19" s="103">
        <v>1</v>
      </c>
      <c r="F19" s="144">
        <f t="shared" si="0"/>
        <v>7040</v>
      </c>
      <c r="G19" s="73"/>
      <c r="H19" s="144"/>
      <c r="I19" s="70"/>
      <c r="J19" s="73"/>
      <c r="K19" s="79"/>
      <c r="L19" s="73"/>
      <c r="M19" s="80"/>
      <c r="N19" s="73"/>
      <c r="O19" s="144">
        <f>12000+3800</f>
        <v>15800</v>
      </c>
      <c r="P19" s="73">
        <v>0.5</v>
      </c>
      <c r="Q19" s="144">
        <f>F19*P19</f>
        <v>3520</v>
      </c>
      <c r="R19" s="144">
        <f t="shared" si="1"/>
        <v>26360</v>
      </c>
      <c r="S19" s="144">
        <f t="shared" si="2"/>
        <v>316320</v>
      </c>
      <c r="T19" s="85">
        <f t="shared" si="3"/>
        <v>351793.56925675675</v>
      </c>
      <c r="U19" s="144">
        <f t="shared" si="4"/>
        <v>632640</v>
      </c>
      <c r="V19" s="85">
        <f t="shared" si="9"/>
        <v>369395.86000000004</v>
      </c>
      <c r="W19" s="144">
        <f t="shared" si="7"/>
        <v>2935429.4292567563</v>
      </c>
      <c r="X19" s="144">
        <f t="shared" si="8"/>
        <v>397231.17654679052</v>
      </c>
      <c r="Y19" s="144">
        <f t="shared" si="6"/>
        <v>3332660.605803547</v>
      </c>
    </row>
    <row r="20" spans="1:26">
      <c r="A20" s="78">
        <v>10</v>
      </c>
      <c r="B20" s="11" t="s">
        <v>84</v>
      </c>
      <c r="C20" s="97">
        <v>1</v>
      </c>
      <c r="D20" s="144">
        <v>7040</v>
      </c>
      <c r="E20" s="103">
        <v>1.1399999999999999</v>
      </c>
      <c r="F20" s="144">
        <f t="shared" si="0"/>
        <v>8025.5999999999995</v>
      </c>
      <c r="G20" s="73"/>
      <c r="H20" s="144"/>
      <c r="I20" s="70"/>
      <c r="J20" s="79"/>
      <c r="K20" s="79"/>
      <c r="L20" s="73"/>
      <c r="M20" s="80"/>
      <c r="N20" s="73"/>
      <c r="O20" s="144">
        <f>17000+5000</f>
        <v>22000</v>
      </c>
      <c r="P20" s="73"/>
      <c r="Q20" s="144">
        <f>F20*P20</f>
        <v>0</v>
      </c>
      <c r="R20" s="144">
        <f t="shared" si="1"/>
        <v>30025.599999999999</v>
      </c>
      <c r="S20" s="144">
        <f t="shared" si="2"/>
        <v>30025.599999999999</v>
      </c>
      <c r="T20" s="85">
        <f t="shared" si="3"/>
        <v>33392.807894144149</v>
      </c>
      <c r="U20" s="144">
        <f t="shared" si="4"/>
        <v>60051.199999999997</v>
      </c>
      <c r="V20" s="85">
        <f t="shared" si="9"/>
        <v>35063.645466666669</v>
      </c>
      <c r="W20" s="144">
        <f t="shared" si="7"/>
        <v>278635.65336081083</v>
      </c>
      <c r="X20" s="144">
        <f t="shared" si="8"/>
        <v>37705.818204739866</v>
      </c>
      <c r="Y20" s="144">
        <f t="shared" si="6"/>
        <v>316341.47156555072</v>
      </c>
    </row>
    <row r="21" spans="1:26">
      <c r="A21" s="78">
        <v>11</v>
      </c>
      <c r="B21" s="12" t="s">
        <v>155</v>
      </c>
      <c r="C21" s="97">
        <v>1</v>
      </c>
      <c r="D21" s="144">
        <v>7040</v>
      </c>
      <c r="E21" s="103">
        <v>1</v>
      </c>
      <c r="F21" s="144">
        <f>+D21*E21</f>
        <v>7040</v>
      </c>
      <c r="G21" s="73"/>
      <c r="H21" s="144"/>
      <c r="I21" s="70"/>
      <c r="J21" s="79"/>
      <c r="K21" s="79"/>
      <c r="L21" s="73"/>
      <c r="M21" s="80"/>
      <c r="N21" s="73"/>
      <c r="O21" s="144">
        <f>19000+5200</f>
        <v>24200</v>
      </c>
      <c r="P21" s="73"/>
      <c r="Q21" s="144"/>
      <c r="R21" s="144">
        <f t="shared" si="1"/>
        <v>31240</v>
      </c>
      <c r="S21" s="144">
        <f t="shared" si="2"/>
        <v>31240</v>
      </c>
      <c r="T21" s="85">
        <f t="shared" si="3"/>
        <v>34743.396255630636</v>
      </c>
      <c r="U21" s="144">
        <f t="shared" si="4"/>
        <v>62480</v>
      </c>
      <c r="V21" s="85">
        <f t="shared" si="9"/>
        <v>36481.811666666668</v>
      </c>
      <c r="W21" s="144">
        <f t="shared" si="7"/>
        <v>289905.2079222973</v>
      </c>
      <c r="X21" s="144">
        <f t="shared" si="8"/>
        <v>39230.848366596285</v>
      </c>
      <c r="Y21" s="144">
        <f t="shared" si="6"/>
        <v>329136.05628889357</v>
      </c>
    </row>
    <row r="22" spans="1:26">
      <c r="A22" s="78">
        <v>12</v>
      </c>
      <c r="B22" s="11" t="s">
        <v>185</v>
      </c>
      <c r="C22" s="97">
        <v>2</v>
      </c>
      <c r="D22" s="144">
        <v>7040</v>
      </c>
      <c r="E22" s="103">
        <v>1</v>
      </c>
      <c r="F22" s="144">
        <f t="shared" ref="F22" si="10">+D22*E22</f>
        <v>7040</v>
      </c>
      <c r="G22" s="73"/>
      <c r="H22" s="144"/>
      <c r="I22" s="70"/>
      <c r="J22" s="73"/>
      <c r="K22" s="79"/>
      <c r="L22" s="73"/>
      <c r="M22" s="80"/>
      <c r="N22" s="73"/>
      <c r="O22" s="144">
        <v>7392</v>
      </c>
      <c r="P22" s="73"/>
      <c r="Q22" s="144"/>
      <c r="R22" s="144">
        <f t="shared" si="1"/>
        <v>14432</v>
      </c>
      <c r="S22" s="144">
        <f t="shared" si="2"/>
        <v>28864</v>
      </c>
      <c r="T22" s="85">
        <f t="shared" si="3"/>
        <v>32100.940765765765</v>
      </c>
      <c r="U22" s="144">
        <f t="shared" si="4"/>
        <v>57728</v>
      </c>
      <c r="V22" s="85">
        <f t="shared" si="9"/>
        <v>33707.138666666666</v>
      </c>
      <c r="W22" s="144">
        <f t="shared" si="7"/>
        <v>267856.07943243242</v>
      </c>
      <c r="X22" s="144">
        <f t="shared" si="8"/>
        <v>36247.093702094593</v>
      </c>
      <c r="Y22" s="144">
        <f t="shared" si="6"/>
        <v>304103.17313452699</v>
      </c>
    </row>
    <row r="23" spans="1:26">
      <c r="A23" s="125"/>
      <c r="B23" s="146" t="s">
        <v>31</v>
      </c>
      <c r="C23" s="138">
        <f>SUM(C11:C22)</f>
        <v>79</v>
      </c>
      <c r="D23" s="143">
        <f>SUM(D11:D22)</f>
        <v>84480</v>
      </c>
      <c r="E23" s="138"/>
      <c r="F23" s="143">
        <f>SUM(F11:F22)</f>
        <v>93913.600000000006</v>
      </c>
      <c r="G23" s="138"/>
      <c r="H23" s="143"/>
      <c r="I23" s="138"/>
      <c r="J23" s="138"/>
      <c r="K23" s="138"/>
      <c r="L23" s="138"/>
      <c r="M23" s="138"/>
      <c r="N23" s="138"/>
      <c r="O23" s="143">
        <f>SUM(O11:O22)</f>
        <v>182984</v>
      </c>
      <c r="P23" s="138"/>
      <c r="Q23" s="143">
        <f t="shared" ref="Q23:W23" si="11">SUM(Q11:Q22)</f>
        <v>8800</v>
      </c>
      <c r="R23" s="143">
        <f t="shared" si="11"/>
        <v>285697.59999999998</v>
      </c>
      <c r="S23" s="143">
        <f t="shared" si="11"/>
        <v>2247945.6</v>
      </c>
      <c r="T23" s="143">
        <f t="shared" si="11"/>
        <v>1789122.0892004503</v>
      </c>
      <c r="U23" s="143">
        <f t="shared" si="11"/>
        <v>3217427.2</v>
      </c>
      <c r="V23" s="143">
        <f t="shared" si="11"/>
        <v>1878642.3361333334</v>
      </c>
      <c r="W23" s="143">
        <f t="shared" si="11"/>
        <v>18124919.625333786</v>
      </c>
      <c r="X23" s="143">
        <f t="shared" ref="X23:Y23" si="12">SUM(X11:X22)</f>
        <v>2571542.4433700778</v>
      </c>
      <c r="Y23" s="143">
        <f t="shared" si="12"/>
        <v>20696462.068703864</v>
      </c>
      <c r="Z23" s="86"/>
    </row>
    <row r="24" spans="1:26">
      <c r="A24" s="434" t="s">
        <v>355</v>
      </c>
      <c r="B24" s="435"/>
      <c r="C24" s="435"/>
      <c r="D24" s="435"/>
      <c r="E24" s="435"/>
      <c r="F24" s="435"/>
      <c r="G24" s="435"/>
      <c r="H24" s="435"/>
      <c r="I24" s="435"/>
      <c r="J24" s="435"/>
      <c r="K24" s="435"/>
      <c r="L24" s="435"/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6"/>
    </row>
    <row r="25" spans="1:26">
      <c r="A25" s="78">
        <v>1</v>
      </c>
      <c r="B25" s="12" t="s">
        <v>37</v>
      </c>
      <c r="C25" s="97">
        <v>1</v>
      </c>
      <c r="D25" s="144">
        <v>7040</v>
      </c>
      <c r="E25" s="98">
        <v>1.7</v>
      </c>
      <c r="F25" s="144">
        <f t="shared" ref="F25:F34" si="13">+D25*E25</f>
        <v>11968</v>
      </c>
      <c r="G25" s="73"/>
      <c r="H25" s="144"/>
      <c r="I25" s="70"/>
      <c r="J25" s="70"/>
      <c r="K25" s="70"/>
      <c r="L25" s="73"/>
      <c r="M25" s="80"/>
      <c r="N25" s="73"/>
      <c r="O25" s="144">
        <f>14000+5000</f>
        <v>19000</v>
      </c>
      <c r="P25" s="73"/>
      <c r="Q25" s="144"/>
      <c r="R25" s="144">
        <f t="shared" ref="R25:R36" si="14">+F25+H25+I25+K25+O25+Q25</f>
        <v>30968</v>
      </c>
      <c r="S25" s="144">
        <f t="shared" ref="S25:S36" si="15">R25*C25</f>
        <v>30968</v>
      </c>
      <c r="T25" s="85">
        <f t="shared" ref="T25:T27" si="16">(((S25+(S25*14.0135/12/12)))*3/3/29.6)*30</f>
        <v>34440.892933558556</v>
      </c>
      <c r="U25" s="144">
        <f t="shared" ref="U25:U27" si="17">S25*2</f>
        <v>61936</v>
      </c>
      <c r="V25" s="85">
        <f t="shared" ref="V25:V27" si="18">(S25*14.0135)/12</f>
        <v>36164.172333333336</v>
      </c>
      <c r="W25" s="144">
        <f t="shared" ref="W25:W36" si="19">(S25*5)+T25+U25+V25</f>
        <v>287381.06526689191</v>
      </c>
      <c r="X25" s="144">
        <f t="shared" ref="X25:X36" si="20">((S25*5)+T25+V25)*0.1725</f>
        <v>38889.273758538853</v>
      </c>
      <c r="Y25" s="144">
        <f t="shared" ref="Y25:Y36" si="21">W25+X25</f>
        <v>326270.33902543073</v>
      </c>
    </row>
    <row r="26" spans="1:26">
      <c r="A26" s="78">
        <v>2</v>
      </c>
      <c r="B26" s="12" t="s">
        <v>151</v>
      </c>
      <c r="C26" s="97">
        <v>10</v>
      </c>
      <c r="D26" s="144">
        <v>7040</v>
      </c>
      <c r="E26" s="103">
        <v>1.7</v>
      </c>
      <c r="F26" s="144">
        <f t="shared" si="13"/>
        <v>11968</v>
      </c>
      <c r="G26" s="79"/>
      <c r="H26" s="144"/>
      <c r="I26" s="79"/>
      <c r="J26" s="79"/>
      <c r="K26" s="79"/>
      <c r="L26" s="73"/>
      <c r="M26" s="80"/>
      <c r="N26" s="73"/>
      <c r="O26" s="144">
        <f>12000+4600</f>
        <v>16600</v>
      </c>
      <c r="P26" s="73"/>
      <c r="Q26" s="144">
        <f>+P26*F26</f>
        <v>0</v>
      </c>
      <c r="R26" s="144">
        <f t="shared" si="14"/>
        <v>28568</v>
      </c>
      <c r="S26" s="144">
        <f t="shared" si="15"/>
        <v>285680</v>
      </c>
      <c r="T26" s="85">
        <f t="shared" si="16"/>
        <v>317717.45974099101</v>
      </c>
      <c r="U26" s="144">
        <f t="shared" si="17"/>
        <v>571360</v>
      </c>
      <c r="V26" s="85">
        <f t="shared" si="18"/>
        <v>333614.72333333333</v>
      </c>
      <c r="W26" s="144">
        <f t="shared" si="19"/>
        <v>2651092.1830743239</v>
      </c>
      <c r="X26" s="144">
        <f t="shared" si="20"/>
        <v>358753.80158032093</v>
      </c>
      <c r="Y26" s="144">
        <f t="shared" si="21"/>
        <v>3009845.984654645</v>
      </c>
    </row>
    <row r="27" spans="1:26">
      <c r="A27" s="78">
        <v>3</v>
      </c>
      <c r="B27" s="11" t="s">
        <v>152</v>
      </c>
      <c r="C27" s="97">
        <v>26</v>
      </c>
      <c r="D27" s="144">
        <v>7040</v>
      </c>
      <c r="E27" s="103">
        <v>1.2</v>
      </c>
      <c r="F27" s="144">
        <f t="shared" si="13"/>
        <v>8448</v>
      </c>
      <c r="G27" s="73"/>
      <c r="H27" s="144"/>
      <c r="I27" s="70"/>
      <c r="J27" s="70"/>
      <c r="K27" s="70"/>
      <c r="L27" s="73"/>
      <c r="M27" s="80"/>
      <c r="N27" s="73"/>
      <c r="O27" s="144">
        <f>19000+5200</f>
        <v>24200</v>
      </c>
      <c r="P27" s="73"/>
      <c r="Q27" s="144">
        <f>+P27*F27</f>
        <v>0</v>
      </c>
      <c r="R27" s="144">
        <f t="shared" si="14"/>
        <v>32648</v>
      </c>
      <c r="S27" s="144">
        <f t="shared" si="15"/>
        <v>848848</v>
      </c>
      <c r="T27" s="85">
        <f t="shared" si="16"/>
        <v>944041.69093468459</v>
      </c>
      <c r="U27" s="144">
        <f t="shared" si="17"/>
        <v>1697696</v>
      </c>
      <c r="V27" s="85">
        <f t="shared" si="18"/>
        <v>991277.62066666677</v>
      </c>
      <c r="W27" s="144">
        <f t="shared" si="19"/>
        <v>7877255.311601351</v>
      </c>
      <c r="X27" s="144">
        <f t="shared" si="20"/>
        <v>1065973.981251233</v>
      </c>
      <c r="Y27" s="144">
        <f t="shared" si="21"/>
        <v>8943229.2928525843</v>
      </c>
    </row>
    <row r="28" spans="1:26" ht="25.5">
      <c r="A28" s="78">
        <v>4</v>
      </c>
      <c r="B28" s="11" t="s">
        <v>153</v>
      </c>
      <c r="C28" s="97">
        <v>20</v>
      </c>
      <c r="D28" s="144">
        <v>7040</v>
      </c>
      <c r="E28" s="103">
        <v>1.2</v>
      </c>
      <c r="F28" s="144">
        <f t="shared" si="13"/>
        <v>8448</v>
      </c>
      <c r="G28" s="73"/>
      <c r="H28" s="144"/>
      <c r="I28" s="70"/>
      <c r="J28" s="70"/>
      <c r="K28" s="70"/>
      <c r="L28" s="73"/>
      <c r="M28" s="80"/>
      <c r="N28" s="73"/>
      <c r="O28" s="144">
        <f>19000+5200</f>
        <v>24200</v>
      </c>
      <c r="P28" s="73"/>
      <c r="Q28" s="144">
        <f>+P28*F28</f>
        <v>0</v>
      </c>
      <c r="R28" s="144">
        <f t="shared" si="14"/>
        <v>32648</v>
      </c>
      <c r="S28" s="144">
        <f t="shared" si="15"/>
        <v>652960</v>
      </c>
      <c r="T28" s="85"/>
      <c r="U28" s="144"/>
      <c r="V28" s="85"/>
      <c r="W28" s="144">
        <f t="shared" si="19"/>
        <v>3264800</v>
      </c>
      <c r="X28" s="144">
        <f t="shared" si="20"/>
        <v>563178</v>
      </c>
      <c r="Y28" s="144">
        <f t="shared" si="21"/>
        <v>3827978</v>
      </c>
    </row>
    <row r="29" spans="1:26">
      <c r="A29" s="78">
        <v>5</v>
      </c>
      <c r="B29" s="11" t="s">
        <v>184</v>
      </c>
      <c r="C29" s="97">
        <v>1</v>
      </c>
      <c r="D29" s="144">
        <v>7040</v>
      </c>
      <c r="E29" s="103">
        <v>1.2</v>
      </c>
      <c r="F29" s="144">
        <f t="shared" si="13"/>
        <v>8448</v>
      </c>
      <c r="G29" s="73"/>
      <c r="H29" s="144"/>
      <c r="I29" s="70"/>
      <c r="J29" s="73"/>
      <c r="K29" s="79"/>
      <c r="L29" s="73"/>
      <c r="M29" s="80"/>
      <c r="N29" s="73"/>
      <c r="O29" s="144">
        <v>7392</v>
      </c>
      <c r="P29" s="73"/>
      <c r="Q29" s="144"/>
      <c r="R29" s="144">
        <f t="shared" si="14"/>
        <v>15840</v>
      </c>
      <c r="S29" s="144">
        <f t="shared" si="15"/>
        <v>15840</v>
      </c>
      <c r="T29" s="85"/>
      <c r="U29" s="144"/>
      <c r="V29" s="85"/>
      <c r="W29" s="144">
        <f t="shared" si="19"/>
        <v>79200</v>
      </c>
      <c r="X29" s="144">
        <f t="shared" si="20"/>
        <v>13661.999999999998</v>
      </c>
      <c r="Y29" s="144">
        <f t="shared" si="21"/>
        <v>92862</v>
      </c>
    </row>
    <row r="30" spans="1:26">
      <c r="A30" s="78">
        <v>6</v>
      </c>
      <c r="B30" s="11" t="s">
        <v>36</v>
      </c>
      <c r="C30" s="97">
        <v>1</v>
      </c>
      <c r="D30" s="144">
        <v>7040</v>
      </c>
      <c r="E30" s="103">
        <v>1.2</v>
      </c>
      <c r="F30" s="144">
        <f t="shared" si="13"/>
        <v>8448</v>
      </c>
      <c r="G30" s="73"/>
      <c r="H30" s="144"/>
      <c r="I30" s="70"/>
      <c r="J30" s="70"/>
      <c r="K30" s="70"/>
      <c r="L30" s="73"/>
      <c r="M30" s="80"/>
      <c r="N30" s="73"/>
      <c r="O30" s="144">
        <f>4000+2500</f>
        <v>6500</v>
      </c>
      <c r="P30" s="73">
        <v>0.25</v>
      </c>
      <c r="Q30" s="144">
        <f>+P30*F30</f>
        <v>2112</v>
      </c>
      <c r="R30" s="144">
        <f t="shared" si="14"/>
        <v>17060</v>
      </c>
      <c r="S30" s="144">
        <f t="shared" si="15"/>
        <v>17060</v>
      </c>
      <c r="T30" s="85">
        <f t="shared" ref="T30:T36" si="22">(((S30+(S30*14.0135/12/12)))*3/3/29.6)*30</f>
        <v>18973.186303490987</v>
      </c>
      <c r="U30" s="144">
        <f t="shared" ref="U30:U36" si="23">S30*2</f>
        <v>34120</v>
      </c>
      <c r="V30" s="85">
        <f t="shared" ref="V30:V36" si="24">(S30*14.0135)/12</f>
        <v>19922.525833333333</v>
      </c>
      <c r="W30" s="144">
        <f t="shared" si="19"/>
        <v>158315.71213682432</v>
      </c>
      <c r="X30" s="144">
        <f t="shared" si="20"/>
        <v>21423.760343602193</v>
      </c>
      <c r="Y30" s="144">
        <f t="shared" si="21"/>
        <v>179739.47248042651</v>
      </c>
    </row>
    <row r="31" spans="1:26">
      <c r="A31" s="78">
        <v>7</v>
      </c>
      <c r="B31" s="11" t="s">
        <v>33</v>
      </c>
      <c r="C31" s="97">
        <v>3</v>
      </c>
      <c r="D31" s="144">
        <v>7040</v>
      </c>
      <c r="E31" s="103">
        <v>1.2</v>
      </c>
      <c r="F31" s="144">
        <f t="shared" si="13"/>
        <v>8448</v>
      </c>
      <c r="G31" s="73"/>
      <c r="H31" s="144"/>
      <c r="I31" s="70"/>
      <c r="J31" s="70"/>
      <c r="K31" s="70"/>
      <c r="L31" s="73"/>
      <c r="M31" s="80"/>
      <c r="N31" s="73"/>
      <c r="O31" s="144">
        <f>3000+2700</f>
        <v>5700</v>
      </c>
      <c r="P31" s="73">
        <v>0.5</v>
      </c>
      <c r="Q31" s="144">
        <f>+P31*F31</f>
        <v>4224</v>
      </c>
      <c r="R31" s="144">
        <f t="shared" si="14"/>
        <v>18372</v>
      </c>
      <c r="S31" s="144">
        <f t="shared" si="15"/>
        <v>55116</v>
      </c>
      <c r="T31" s="85">
        <f t="shared" si="22"/>
        <v>61296.959923986484</v>
      </c>
      <c r="U31" s="144">
        <f t="shared" si="23"/>
        <v>110232</v>
      </c>
      <c r="V31" s="85">
        <f t="shared" si="24"/>
        <v>64364.005499999999</v>
      </c>
      <c r="W31" s="144">
        <f t="shared" si="19"/>
        <v>511472.96542398643</v>
      </c>
      <c r="X31" s="144">
        <f t="shared" si="20"/>
        <v>69214.066535637656</v>
      </c>
      <c r="Y31" s="144">
        <f t="shared" si="21"/>
        <v>580687.03195962403</v>
      </c>
    </row>
    <row r="32" spans="1:26">
      <c r="A32" s="78">
        <v>8</v>
      </c>
      <c r="B32" s="11" t="s">
        <v>38</v>
      </c>
      <c r="C32" s="97">
        <v>1</v>
      </c>
      <c r="D32" s="144">
        <v>7040</v>
      </c>
      <c r="E32" s="103">
        <v>1.2</v>
      </c>
      <c r="F32" s="144">
        <f t="shared" si="13"/>
        <v>8448</v>
      </c>
      <c r="G32" s="73"/>
      <c r="H32" s="144"/>
      <c r="I32" s="70"/>
      <c r="J32" s="70"/>
      <c r="K32" s="70"/>
      <c r="L32" s="73"/>
      <c r="M32" s="80"/>
      <c r="N32" s="73"/>
      <c r="O32" s="144">
        <f>7200+2800</f>
        <v>10000</v>
      </c>
      <c r="P32" s="73"/>
      <c r="Q32" s="144"/>
      <c r="R32" s="144">
        <f t="shared" si="14"/>
        <v>18448</v>
      </c>
      <c r="S32" s="144">
        <f t="shared" si="15"/>
        <v>18448</v>
      </c>
      <c r="T32" s="85">
        <f t="shared" si="22"/>
        <v>20516.842961711711</v>
      </c>
      <c r="U32" s="144">
        <f t="shared" si="23"/>
        <v>36896</v>
      </c>
      <c r="V32" s="85">
        <f t="shared" si="24"/>
        <v>21543.420666666669</v>
      </c>
      <c r="W32" s="144">
        <f t="shared" si="19"/>
        <v>171196.26362837836</v>
      </c>
      <c r="X32" s="144">
        <f t="shared" si="20"/>
        <v>23166.795475895266</v>
      </c>
      <c r="Y32" s="144">
        <f t="shared" si="21"/>
        <v>194363.05910427362</v>
      </c>
    </row>
    <row r="33" spans="1:26">
      <c r="A33" s="78">
        <v>9</v>
      </c>
      <c r="B33" s="11" t="s">
        <v>154</v>
      </c>
      <c r="C33" s="97">
        <v>12</v>
      </c>
      <c r="D33" s="144">
        <v>7040</v>
      </c>
      <c r="E33" s="103">
        <v>1.2</v>
      </c>
      <c r="F33" s="144">
        <f t="shared" si="13"/>
        <v>8448</v>
      </c>
      <c r="G33" s="73"/>
      <c r="H33" s="144"/>
      <c r="I33" s="70"/>
      <c r="J33" s="73"/>
      <c r="K33" s="79"/>
      <c r="L33" s="73"/>
      <c r="M33" s="80"/>
      <c r="N33" s="73"/>
      <c r="O33" s="144">
        <f>12000+3800</f>
        <v>15800</v>
      </c>
      <c r="P33" s="73">
        <v>0.5</v>
      </c>
      <c r="Q33" s="144">
        <f>F33*P33</f>
        <v>4224</v>
      </c>
      <c r="R33" s="144">
        <f t="shared" si="14"/>
        <v>28472</v>
      </c>
      <c r="S33" s="144">
        <f t="shared" si="15"/>
        <v>341664</v>
      </c>
      <c r="T33" s="85">
        <f t="shared" si="22"/>
        <v>379979.76114864857</v>
      </c>
      <c r="U33" s="144">
        <f t="shared" si="23"/>
        <v>683328</v>
      </c>
      <c r="V33" s="85">
        <f t="shared" si="24"/>
        <v>398992.37200000003</v>
      </c>
      <c r="W33" s="144">
        <f t="shared" si="19"/>
        <v>3170620.1331486483</v>
      </c>
      <c r="X33" s="144">
        <f t="shared" si="20"/>
        <v>429057.89296814188</v>
      </c>
      <c r="Y33" s="144">
        <f t="shared" si="21"/>
        <v>3599678.0261167902</v>
      </c>
    </row>
    <row r="34" spans="1:26">
      <c r="A34" s="78">
        <v>10</v>
      </c>
      <c r="B34" s="11" t="s">
        <v>84</v>
      </c>
      <c r="C34" s="97">
        <v>1</v>
      </c>
      <c r="D34" s="144">
        <v>7040</v>
      </c>
      <c r="E34" s="103">
        <v>1.4</v>
      </c>
      <c r="F34" s="144">
        <f t="shared" si="13"/>
        <v>9856</v>
      </c>
      <c r="G34" s="73"/>
      <c r="H34" s="144"/>
      <c r="I34" s="70"/>
      <c r="J34" s="79"/>
      <c r="K34" s="79"/>
      <c r="L34" s="73"/>
      <c r="M34" s="80"/>
      <c r="N34" s="73"/>
      <c r="O34" s="144">
        <f>17000+5000</f>
        <v>22000</v>
      </c>
      <c r="P34" s="73"/>
      <c r="Q34" s="144">
        <f>F34*P34</f>
        <v>0</v>
      </c>
      <c r="R34" s="144">
        <f t="shared" si="14"/>
        <v>31856</v>
      </c>
      <c r="S34" s="144">
        <f t="shared" si="15"/>
        <v>31856</v>
      </c>
      <c r="T34" s="85">
        <f t="shared" si="22"/>
        <v>35428.477308558555</v>
      </c>
      <c r="U34" s="144">
        <f t="shared" si="23"/>
        <v>63712</v>
      </c>
      <c r="V34" s="85">
        <f t="shared" si="24"/>
        <v>37201.171333333339</v>
      </c>
      <c r="W34" s="144">
        <f t="shared" si="19"/>
        <v>295621.64864189189</v>
      </c>
      <c r="X34" s="144">
        <f t="shared" si="20"/>
        <v>40004.41439072635</v>
      </c>
      <c r="Y34" s="144">
        <f t="shared" si="21"/>
        <v>335626.06303261826</v>
      </c>
    </row>
    <row r="35" spans="1:26">
      <c r="A35" s="78">
        <v>11</v>
      </c>
      <c r="B35" s="12" t="s">
        <v>155</v>
      </c>
      <c r="C35" s="97">
        <v>1</v>
      </c>
      <c r="D35" s="144">
        <v>7040</v>
      </c>
      <c r="E35" s="103">
        <v>1.2</v>
      </c>
      <c r="F35" s="144">
        <f>+D35*E35</f>
        <v>8448</v>
      </c>
      <c r="G35" s="73"/>
      <c r="H35" s="144"/>
      <c r="I35" s="70"/>
      <c r="J35" s="79"/>
      <c r="K35" s="79"/>
      <c r="L35" s="73"/>
      <c r="M35" s="80"/>
      <c r="N35" s="73"/>
      <c r="O35" s="144">
        <f>19000+5200</f>
        <v>24200</v>
      </c>
      <c r="P35" s="73"/>
      <c r="Q35" s="144"/>
      <c r="R35" s="144">
        <f t="shared" si="14"/>
        <v>32648</v>
      </c>
      <c r="S35" s="144">
        <f t="shared" si="15"/>
        <v>32648</v>
      </c>
      <c r="T35" s="85">
        <f t="shared" si="22"/>
        <v>36309.295805180176</v>
      </c>
      <c r="U35" s="144">
        <f t="shared" si="23"/>
        <v>65296</v>
      </c>
      <c r="V35" s="85">
        <f t="shared" si="24"/>
        <v>38126.062333333335</v>
      </c>
      <c r="W35" s="144">
        <f t="shared" si="19"/>
        <v>302971.35813851352</v>
      </c>
      <c r="X35" s="144">
        <f t="shared" si="20"/>
        <v>40998.999278893578</v>
      </c>
      <c r="Y35" s="144">
        <f t="shared" si="21"/>
        <v>343970.3574174071</v>
      </c>
    </row>
    <row r="36" spans="1:26">
      <c r="A36" s="78">
        <v>12</v>
      </c>
      <c r="B36" s="11" t="s">
        <v>185</v>
      </c>
      <c r="C36" s="97">
        <v>2</v>
      </c>
      <c r="D36" s="144">
        <v>7040</v>
      </c>
      <c r="E36" s="103">
        <v>1.2</v>
      </c>
      <c r="F36" s="144">
        <f t="shared" ref="F36" si="25">+D36*E36</f>
        <v>8448</v>
      </c>
      <c r="G36" s="73"/>
      <c r="H36" s="144"/>
      <c r="I36" s="70"/>
      <c r="J36" s="73"/>
      <c r="K36" s="79"/>
      <c r="L36" s="73"/>
      <c r="M36" s="80"/>
      <c r="N36" s="73"/>
      <c r="O36" s="144">
        <v>7392</v>
      </c>
      <c r="P36" s="73"/>
      <c r="Q36" s="144"/>
      <c r="R36" s="144">
        <f t="shared" si="14"/>
        <v>15840</v>
      </c>
      <c r="S36" s="144">
        <f t="shared" si="15"/>
        <v>31680</v>
      </c>
      <c r="T36" s="85">
        <f t="shared" si="22"/>
        <v>35232.739864864867</v>
      </c>
      <c r="U36" s="144">
        <f t="shared" si="23"/>
        <v>63360</v>
      </c>
      <c r="V36" s="85">
        <f t="shared" si="24"/>
        <v>36995.64</v>
      </c>
      <c r="W36" s="144">
        <f t="shared" si="19"/>
        <v>293988.37986486487</v>
      </c>
      <c r="X36" s="144">
        <f t="shared" si="20"/>
        <v>39783.395526689186</v>
      </c>
      <c r="Y36" s="144">
        <f t="shared" si="21"/>
        <v>333771.77539155405</v>
      </c>
    </row>
    <row r="37" spans="1:26">
      <c r="A37" s="125"/>
      <c r="B37" s="146" t="s">
        <v>31</v>
      </c>
      <c r="C37" s="138">
        <f>SUM(C25:C36)</f>
        <v>79</v>
      </c>
      <c r="D37" s="143">
        <f>SUM(D25:D36)</f>
        <v>84480</v>
      </c>
      <c r="E37" s="138"/>
      <c r="F37" s="143">
        <f>SUM(F25:F36)</f>
        <v>109824</v>
      </c>
      <c r="G37" s="138"/>
      <c r="H37" s="143"/>
      <c r="I37" s="138"/>
      <c r="J37" s="138"/>
      <c r="K37" s="138"/>
      <c r="L37" s="138"/>
      <c r="M37" s="138"/>
      <c r="N37" s="138"/>
      <c r="O37" s="143">
        <f>SUM(O25:O36)</f>
        <v>182984</v>
      </c>
      <c r="P37" s="138"/>
      <c r="Q37" s="143">
        <f t="shared" ref="Q37:Y37" si="26">SUM(Q25:Q36)</f>
        <v>10560</v>
      </c>
      <c r="R37" s="143">
        <f t="shared" si="26"/>
        <v>303368</v>
      </c>
      <c r="S37" s="143">
        <f t="shared" si="26"/>
        <v>2362768</v>
      </c>
      <c r="T37" s="143">
        <f t="shared" si="26"/>
        <v>1883937.3069256756</v>
      </c>
      <c r="U37" s="143">
        <f t="shared" si="26"/>
        <v>3387936</v>
      </c>
      <c r="V37" s="143">
        <f t="shared" si="26"/>
        <v>1978201.7139999999</v>
      </c>
      <c r="W37" s="143">
        <f t="shared" si="26"/>
        <v>19063915.020925671</v>
      </c>
      <c r="X37" s="143">
        <f t="shared" si="26"/>
        <v>2704106.3811096787</v>
      </c>
      <c r="Y37" s="143">
        <f t="shared" si="26"/>
        <v>21768021.402035356</v>
      </c>
      <c r="Z37" s="86"/>
    </row>
    <row r="39" spans="1:26">
      <c r="W39" s="101"/>
    </row>
    <row r="41" spans="1:26">
      <c r="B41" s="451" t="s">
        <v>522</v>
      </c>
      <c r="C41" s="450"/>
      <c r="D41" s="450"/>
      <c r="E41" s="450"/>
      <c r="F41" s="450"/>
      <c r="G41" s="450"/>
      <c r="H41" s="450"/>
      <c r="I41" s="450"/>
      <c r="J41" s="450"/>
      <c r="K41" s="450"/>
      <c r="L41" s="450"/>
      <c r="M41" s="450"/>
      <c r="N41" s="450"/>
      <c r="O41" s="450"/>
      <c r="P41" s="450"/>
      <c r="Q41" s="450"/>
      <c r="R41" s="450"/>
      <c r="S41" s="450"/>
      <c r="T41" s="450"/>
      <c r="U41" s="450"/>
      <c r="V41" s="450"/>
      <c r="W41" s="450"/>
      <c r="X41" s="450"/>
      <c r="Y41" s="450"/>
    </row>
  </sheetData>
  <mergeCells count="26">
    <mergeCell ref="B41:Y41"/>
    <mergeCell ref="X1:Y1"/>
    <mergeCell ref="A4:Q4"/>
    <mergeCell ref="A3:Y3"/>
    <mergeCell ref="A6:A8"/>
    <mergeCell ref="B6:B8"/>
    <mergeCell ref="C6:C8"/>
    <mergeCell ref="D6:D8"/>
    <mergeCell ref="E6:E8"/>
    <mergeCell ref="F6:F8"/>
    <mergeCell ref="G6:Q6"/>
    <mergeCell ref="G7:H7"/>
    <mergeCell ref="J7:K7"/>
    <mergeCell ref="L7:M7"/>
    <mergeCell ref="N7:O7"/>
    <mergeCell ref="P7:Q7"/>
    <mergeCell ref="R6:R7"/>
    <mergeCell ref="S6:S7"/>
    <mergeCell ref="A10:Y10"/>
    <mergeCell ref="A24:Y24"/>
    <mergeCell ref="W6:W7"/>
    <mergeCell ref="X6:X7"/>
    <mergeCell ref="Y6:Y7"/>
    <mergeCell ref="T6:T7"/>
    <mergeCell ref="U6:U7"/>
    <mergeCell ref="V6:V7"/>
  </mergeCells>
  <pageMargins left="0.78740157480314965" right="0" top="0.74803149606299213" bottom="0.74803149606299213" header="0.31496062992125984" footer="0.31496062992125984"/>
  <pageSetup paperSize="9" scale="57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  <pageSetUpPr fitToPage="1"/>
  </sheetPr>
  <dimension ref="A1:Y21"/>
  <sheetViews>
    <sheetView view="pageBreakPreview" zoomScale="115" zoomScaleNormal="100" zoomScaleSheetLayoutView="115" workbookViewId="0">
      <selection activeCell="U20" sqref="U20:W20"/>
    </sheetView>
  </sheetViews>
  <sheetFormatPr defaultColWidth="9.140625" defaultRowHeight="12.75"/>
  <cols>
    <col min="1" max="1" width="4.140625" style="64" customWidth="1"/>
    <col min="2" max="2" width="28.42578125" style="64" customWidth="1"/>
    <col min="3" max="3" width="4.85546875" style="64" customWidth="1"/>
    <col min="4" max="4" width="9.42578125" style="64" bestFit="1" customWidth="1"/>
    <col min="5" max="5" width="5.5703125" style="64" customWidth="1"/>
    <col min="6" max="6" width="9.140625" style="64"/>
    <col min="7" max="7" width="6.140625" style="64" customWidth="1"/>
    <col min="8" max="8" width="7.28515625" style="64" customWidth="1"/>
    <col min="9" max="9" width="6.28515625" style="64" hidden="1" customWidth="1"/>
    <col min="10" max="11" width="6.85546875" style="64" hidden="1" customWidth="1"/>
    <col min="12" max="12" width="8.140625" style="64" hidden="1" customWidth="1"/>
    <col min="13" max="13" width="7.7109375" style="64" hidden="1" customWidth="1"/>
    <col min="14" max="14" width="4.42578125" style="64" customWidth="1"/>
    <col min="15" max="15" width="7.42578125" style="64" customWidth="1"/>
    <col min="16" max="16" width="6" style="64" hidden="1" customWidth="1"/>
    <col min="17" max="17" width="7.5703125" style="64" hidden="1" customWidth="1"/>
    <col min="18" max="18" width="11.140625" style="64" customWidth="1"/>
    <col min="19" max="19" width="11" style="64" customWidth="1"/>
    <col min="20" max="20" width="9" style="64" customWidth="1"/>
    <col min="21" max="21" width="9.85546875" style="64" customWidth="1"/>
    <col min="22" max="22" width="9" style="64" customWidth="1"/>
    <col min="23" max="23" width="9.85546875" style="64" bestFit="1" customWidth="1"/>
    <col min="24" max="24" width="10.5703125" style="64" bestFit="1" customWidth="1"/>
    <col min="25" max="25" width="9.7109375" style="64" customWidth="1"/>
    <col min="26" max="16384" width="9.140625" style="64"/>
  </cols>
  <sheetData>
    <row r="1" spans="1:25" s="5" customFormat="1" ht="66.599999999999994" customHeight="1">
      <c r="A1" s="442"/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  <c r="P1" s="442"/>
      <c r="Q1" s="442"/>
      <c r="R1" s="442"/>
      <c r="V1" s="3"/>
      <c r="X1" s="399" t="s">
        <v>523</v>
      </c>
      <c r="Y1" s="399"/>
    </row>
    <row r="2" spans="1:25" s="5" customFormat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V2" s="13"/>
    </row>
    <row r="3" spans="1:25" s="5" customFormat="1">
      <c r="A3" s="442" t="s">
        <v>165</v>
      </c>
      <c r="B3" s="442"/>
      <c r="C3" s="442"/>
      <c r="D3" s="442"/>
      <c r="E3" s="442"/>
      <c r="F3" s="442"/>
      <c r="G3" s="442"/>
      <c r="H3" s="442"/>
      <c r="I3" s="442"/>
      <c r="J3" s="442"/>
      <c r="K3" s="442"/>
      <c r="L3" s="442"/>
      <c r="M3" s="442"/>
      <c r="N3" s="442"/>
      <c r="O3" s="442"/>
      <c r="P3" s="442"/>
      <c r="Q3" s="442"/>
      <c r="R3" s="442"/>
      <c r="S3" s="442"/>
      <c r="T3" s="442"/>
      <c r="U3" s="442"/>
      <c r="V3" s="442"/>
    </row>
    <row r="5" spans="1:25" ht="32.450000000000003" customHeight="1">
      <c r="A5" s="456" t="s">
        <v>0</v>
      </c>
      <c r="B5" s="456" t="s">
        <v>20</v>
      </c>
      <c r="C5" s="456" t="s">
        <v>21</v>
      </c>
      <c r="D5" s="456" t="s">
        <v>22</v>
      </c>
      <c r="E5" s="456" t="s">
        <v>103</v>
      </c>
      <c r="F5" s="459" t="s">
        <v>23</v>
      </c>
      <c r="G5" s="460" t="s">
        <v>104</v>
      </c>
      <c r="H5" s="461"/>
      <c r="I5" s="461"/>
      <c r="J5" s="461"/>
      <c r="K5" s="461"/>
      <c r="L5" s="461"/>
      <c r="M5" s="461"/>
      <c r="N5" s="461"/>
      <c r="O5" s="461"/>
      <c r="P5" s="461"/>
      <c r="Q5" s="462"/>
      <c r="R5" s="456" t="s">
        <v>28</v>
      </c>
      <c r="S5" s="456" t="s">
        <v>167</v>
      </c>
      <c r="T5" s="456" t="s">
        <v>105</v>
      </c>
      <c r="U5" s="456" t="s">
        <v>106</v>
      </c>
      <c r="V5" s="456" t="s">
        <v>108</v>
      </c>
      <c r="W5" s="457" t="s">
        <v>110</v>
      </c>
      <c r="X5" s="457" t="s">
        <v>111</v>
      </c>
      <c r="Y5" s="457" t="s">
        <v>112</v>
      </c>
    </row>
    <row r="6" spans="1:25" ht="96" customHeight="1">
      <c r="A6" s="456"/>
      <c r="B6" s="456"/>
      <c r="C6" s="456"/>
      <c r="D6" s="456"/>
      <c r="E6" s="456"/>
      <c r="F6" s="459"/>
      <c r="G6" s="456" t="s">
        <v>85</v>
      </c>
      <c r="H6" s="456"/>
      <c r="I6" s="117" t="s">
        <v>25</v>
      </c>
      <c r="J6" s="456" t="s">
        <v>24</v>
      </c>
      <c r="K6" s="456"/>
      <c r="L6" s="463" t="s">
        <v>114</v>
      </c>
      <c r="M6" s="464"/>
      <c r="N6" s="456" t="s">
        <v>26</v>
      </c>
      <c r="O6" s="456"/>
      <c r="P6" s="465" t="s">
        <v>115</v>
      </c>
      <c r="Q6" s="466"/>
      <c r="R6" s="456"/>
      <c r="S6" s="456"/>
      <c r="T6" s="456"/>
      <c r="U6" s="456"/>
      <c r="V6" s="456"/>
      <c r="W6" s="458"/>
      <c r="X6" s="458"/>
      <c r="Y6" s="458"/>
    </row>
    <row r="7" spans="1:25" ht="27.75" customHeight="1">
      <c r="A7" s="456"/>
      <c r="B7" s="456"/>
      <c r="C7" s="456"/>
      <c r="D7" s="456"/>
      <c r="E7" s="456"/>
      <c r="F7" s="459"/>
      <c r="G7" s="65" t="s">
        <v>3</v>
      </c>
      <c r="H7" s="65" t="s">
        <v>29</v>
      </c>
      <c r="I7" s="65" t="s">
        <v>29</v>
      </c>
      <c r="J7" s="65" t="s">
        <v>3</v>
      </c>
      <c r="K7" s="65" t="s">
        <v>29</v>
      </c>
      <c r="L7" s="65" t="s">
        <v>3</v>
      </c>
      <c r="M7" s="65" t="s">
        <v>29</v>
      </c>
      <c r="N7" s="65" t="s">
        <v>3</v>
      </c>
      <c r="O7" s="65" t="s">
        <v>29</v>
      </c>
      <c r="P7" s="65" t="s">
        <v>3</v>
      </c>
      <c r="Q7" s="65" t="s">
        <v>29</v>
      </c>
      <c r="R7" s="65" t="s">
        <v>29</v>
      </c>
      <c r="S7" s="65" t="s">
        <v>29</v>
      </c>
      <c r="T7" s="65" t="s">
        <v>29</v>
      </c>
      <c r="U7" s="65" t="s">
        <v>29</v>
      </c>
      <c r="V7" s="65" t="s">
        <v>29</v>
      </c>
      <c r="W7" s="65" t="s">
        <v>29</v>
      </c>
      <c r="X7" s="65" t="s">
        <v>29</v>
      </c>
      <c r="Y7" s="65" t="s">
        <v>29</v>
      </c>
    </row>
    <row r="8" spans="1:25">
      <c r="A8" s="65">
        <v>1</v>
      </c>
      <c r="B8" s="65">
        <v>2</v>
      </c>
      <c r="C8" s="65">
        <v>3</v>
      </c>
      <c r="D8" s="65">
        <v>4</v>
      </c>
      <c r="E8" s="65">
        <v>5</v>
      </c>
      <c r="F8" s="65">
        <v>6</v>
      </c>
      <c r="G8" s="65">
        <v>7</v>
      </c>
      <c r="H8" s="65">
        <v>8</v>
      </c>
      <c r="I8" s="65">
        <v>9</v>
      </c>
      <c r="J8" s="65">
        <v>10</v>
      </c>
      <c r="K8" s="65">
        <v>11</v>
      </c>
      <c r="L8" s="65">
        <v>12</v>
      </c>
      <c r="M8" s="65">
        <v>13</v>
      </c>
      <c r="N8" s="65">
        <v>9</v>
      </c>
      <c r="O8" s="65">
        <v>10</v>
      </c>
      <c r="P8" s="65">
        <v>16</v>
      </c>
      <c r="Q8" s="65">
        <v>17</v>
      </c>
      <c r="R8" s="65">
        <v>11</v>
      </c>
      <c r="S8" s="65">
        <v>12</v>
      </c>
      <c r="T8" s="65">
        <v>13</v>
      </c>
      <c r="U8" s="65">
        <v>14</v>
      </c>
      <c r="V8" s="65">
        <v>15</v>
      </c>
      <c r="W8" s="65">
        <v>16</v>
      </c>
      <c r="X8" s="65">
        <v>17</v>
      </c>
      <c r="Y8" s="65">
        <v>18</v>
      </c>
    </row>
    <row r="9" spans="1:25">
      <c r="A9" s="460" t="s">
        <v>354</v>
      </c>
      <c r="B9" s="461"/>
      <c r="C9" s="461"/>
      <c r="D9" s="461"/>
      <c r="E9" s="461"/>
      <c r="F9" s="461"/>
      <c r="G9" s="461"/>
      <c r="H9" s="461"/>
      <c r="I9" s="461"/>
      <c r="J9" s="461"/>
      <c r="K9" s="461"/>
      <c r="L9" s="461"/>
      <c r="M9" s="461"/>
      <c r="N9" s="461"/>
      <c r="O9" s="461"/>
      <c r="P9" s="461"/>
      <c r="Q9" s="461"/>
      <c r="R9" s="461"/>
      <c r="S9" s="461"/>
      <c r="T9" s="461"/>
      <c r="U9" s="461"/>
      <c r="V9" s="461"/>
      <c r="W9" s="461"/>
      <c r="X9" s="461"/>
      <c r="Y9" s="462"/>
    </row>
    <row r="10" spans="1:25">
      <c r="A10" s="66">
        <v>2</v>
      </c>
      <c r="B10" s="106" t="s">
        <v>60</v>
      </c>
      <c r="C10" s="97">
        <v>60</v>
      </c>
      <c r="D10" s="172">
        <v>7040</v>
      </c>
      <c r="E10" s="105">
        <v>1</v>
      </c>
      <c r="F10" s="172">
        <f t="shared" ref="F10:F12" si="0">+D10*E10</f>
        <v>7040</v>
      </c>
      <c r="G10" s="73"/>
      <c r="H10" s="172"/>
      <c r="I10" s="173"/>
      <c r="J10" s="173"/>
      <c r="K10" s="173"/>
      <c r="L10" s="167"/>
      <c r="M10" s="172"/>
      <c r="N10" s="167"/>
      <c r="O10" s="172">
        <f>19000+5000</f>
        <v>24000</v>
      </c>
      <c r="P10" s="167"/>
      <c r="Q10" s="172">
        <f>SUM(P10*F10)</f>
        <v>0</v>
      </c>
      <c r="R10" s="176">
        <f t="shared" ref="R10" si="1">+F10+H10+I10+M10+O10+Q10</f>
        <v>31040</v>
      </c>
      <c r="S10" s="85">
        <f t="shared" ref="S10:S12" si="2">R10*C10</f>
        <v>1862400</v>
      </c>
      <c r="T10" s="85">
        <f t="shared" ref="T10:T12" si="3">(((S10+(S10*14.0135/12/12)))*3/3/29.6)*30</f>
        <v>2071258.0405405401</v>
      </c>
      <c r="U10" s="172">
        <f t="shared" ref="U10:U11" si="4">S10*2</f>
        <v>3724800</v>
      </c>
      <c r="V10" s="85">
        <f t="shared" ref="V10:V12" si="5">(S10*14.0135)/12</f>
        <v>2174895.2000000002</v>
      </c>
      <c r="W10" s="144">
        <f t="shared" ref="W10:W12" si="6">(S10*7)+T10+U10+V10</f>
        <v>21007753.240540538</v>
      </c>
      <c r="X10" s="144">
        <f t="shared" ref="X10:X12" si="7">((S10*7)+T10+V10)*0.1725</f>
        <v>2981309.4339932431</v>
      </c>
      <c r="Y10" s="144">
        <f t="shared" ref="Y10:Y12" si="8">W10+X10</f>
        <v>23989062.674533781</v>
      </c>
    </row>
    <row r="11" spans="1:25">
      <c r="A11" s="66">
        <v>3</v>
      </c>
      <c r="B11" s="106" t="s">
        <v>168</v>
      </c>
      <c r="C11" s="97">
        <v>1</v>
      </c>
      <c r="D11" s="172">
        <v>7040</v>
      </c>
      <c r="E11" s="105">
        <v>1.6</v>
      </c>
      <c r="F11" s="172">
        <f t="shared" si="0"/>
        <v>11264</v>
      </c>
      <c r="G11" s="73"/>
      <c r="H11" s="172"/>
      <c r="I11" s="173"/>
      <c r="J11" s="173"/>
      <c r="K11" s="173"/>
      <c r="L11" s="167"/>
      <c r="M11" s="172"/>
      <c r="N11" s="167"/>
      <c r="O11" s="172">
        <f>16000+3000</f>
        <v>19000</v>
      </c>
      <c r="P11" s="167">
        <v>0</v>
      </c>
      <c r="Q11" s="172"/>
      <c r="R11" s="176">
        <f>+F11+H11+I11+M11+O11+Q11</f>
        <v>30264</v>
      </c>
      <c r="S11" s="85">
        <f t="shared" si="2"/>
        <v>30264</v>
      </c>
      <c r="T11" s="85">
        <f t="shared" si="3"/>
        <v>33657.943158783783</v>
      </c>
      <c r="U11" s="172">
        <f t="shared" si="4"/>
        <v>60528</v>
      </c>
      <c r="V11" s="85">
        <f t="shared" si="5"/>
        <v>35342.046999999999</v>
      </c>
      <c r="W11" s="144">
        <f t="shared" si="6"/>
        <v>341375.9901587838</v>
      </c>
      <c r="X11" s="144">
        <f t="shared" si="7"/>
        <v>48446.278302390201</v>
      </c>
      <c r="Y11" s="144">
        <f t="shared" si="8"/>
        <v>389822.26846117398</v>
      </c>
    </row>
    <row r="12" spans="1:25">
      <c r="A12" s="66">
        <v>4</v>
      </c>
      <c r="B12" s="106" t="s">
        <v>61</v>
      </c>
      <c r="C12" s="97">
        <v>1</v>
      </c>
      <c r="D12" s="172">
        <v>7040</v>
      </c>
      <c r="E12" s="104">
        <v>1.6</v>
      </c>
      <c r="F12" s="172">
        <f t="shared" si="0"/>
        <v>11264</v>
      </c>
      <c r="G12" s="73"/>
      <c r="H12" s="172"/>
      <c r="I12" s="173"/>
      <c r="J12" s="173"/>
      <c r="K12" s="173"/>
      <c r="L12" s="167"/>
      <c r="M12" s="172"/>
      <c r="N12" s="167"/>
      <c r="O12" s="172">
        <f>13000+3000</f>
        <v>16000</v>
      </c>
      <c r="P12" s="167"/>
      <c r="Q12" s="172"/>
      <c r="R12" s="176">
        <f t="shared" ref="R12" si="9">+F12+H12+I12+M12+O12+Q12</f>
        <v>27264</v>
      </c>
      <c r="S12" s="85">
        <f t="shared" si="2"/>
        <v>27264</v>
      </c>
      <c r="T12" s="85">
        <f t="shared" si="3"/>
        <v>30321.509459459459</v>
      </c>
      <c r="U12" s="172">
        <f t="shared" ref="U12" si="10">S12*2</f>
        <v>54528</v>
      </c>
      <c r="V12" s="85">
        <f t="shared" si="5"/>
        <v>31838.672000000002</v>
      </c>
      <c r="W12" s="144">
        <f t="shared" si="6"/>
        <v>307536.18145945948</v>
      </c>
      <c r="X12" s="144">
        <f t="shared" si="7"/>
        <v>43643.911301756751</v>
      </c>
      <c r="Y12" s="144">
        <f t="shared" si="8"/>
        <v>351180.09276121622</v>
      </c>
    </row>
    <row r="13" spans="1:25" s="115" customFormat="1">
      <c r="A13" s="65"/>
      <c r="B13" s="74" t="s">
        <v>40</v>
      </c>
      <c r="C13" s="108">
        <f>SUM(C10:C12)</f>
        <v>62</v>
      </c>
      <c r="D13" s="145">
        <f>SUM(D10:D12)</f>
        <v>21120</v>
      </c>
      <c r="E13" s="108"/>
      <c r="F13" s="145">
        <f>SUM(F10:F12)</f>
        <v>29568</v>
      </c>
      <c r="G13" s="108"/>
      <c r="H13" s="145">
        <f t="shared" ref="H13:Y13" si="11">SUM(H10:H12)</f>
        <v>0</v>
      </c>
      <c r="I13" s="145">
        <f t="shared" si="11"/>
        <v>0</v>
      </c>
      <c r="J13" s="145">
        <f t="shared" si="11"/>
        <v>0</v>
      </c>
      <c r="K13" s="145">
        <f t="shared" si="11"/>
        <v>0</v>
      </c>
      <c r="L13" s="145">
        <f t="shared" si="11"/>
        <v>0</v>
      </c>
      <c r="M13" s="145">
        <f t="shared" si="11"/>
        <v>0</v>
      </c>
      <c r="N13" s="145">
        <f t="shared" si="11"/>
        <v>0</v>
      </c>
      <c r="O13" s="145">
        <f t="shared" si="11"/>
        <v>59000</v>
      </c>
      <c r="P13" s="145">
        <f t="shared" si="11"/>
        <v>0</v>
      </c>
      <c r="Q13" s="145">
        <f t="shared" si="11"/>
        <v>0</v>
      </c>
      <c r="R13" s="145">
        <f t="shared" si="11"/>
        <v>88568</v>
      </c>
      <c r="S13" s="145">
        <f t="shared" si="11"/>
        <v>1919928</v>
      </c>
      <c r="T13" s="145">
        <f t="shared" si="11"/>
        <v>2135237.4931587838</v>
      </c>
      <c r="U13" s="145">
        <f t="shared" si="11"/>
        <v>3839856</v>
      </c>
      <c r="V13" s="145">
        <f t="shared" si="11"/>
        <v>2242075.9189999998</v>
      </c>
      <c r="W13" s="145">
        <f t="shared" si="11"/>
        <v>21656665.412158784</v>
      </c>
      <c r="X13" s="145">
        <f t="shared" si="11"/>
        <v>3073399.62359739</v>
      </c>
      <c r="Y13" s="145">
        <f t="shared" si="11"/>
        <v>24730065.035756171</v>
      </c>
    </row>
    <row r="14" spans="1:25">
      <c r="A14" s="460" t="s">
        <v>355</v>
      </c>
      <c r="B14" s="461"/>
      <c r="C14" s="461"/>
      <c r="D14" s="461"/>
      <c r="E14" s="461"/>
      <c r="F14" s="461"/>
      <c r="G14" s="461"/>
      <c r="H14" s="461"/>
      <c r="I14" s="461"/>
      <c r="J14" s="461"/>
      <c r="K14" s="461"/>
      <c r="L14" s="461"/>
      <c r="M14" s="461"/>
      <c r="N14" s="461"/>
      <c r="O14" s="461"/>
      <c r="P14" s="461"/>
      <c r="Q14" s="461"/>
      <c r="R14" s="461"/>
      <c r="S14" s="461"/>
      <c r="T14" s="461"/>
      <c r="U14" s="461"/>
      <c r="V14" s="461"/>
      <c r="W14" s="461"/>
      <c r="X14" s="461"/>
      <c r="Y14" s="462"/>
    </row>
    <row r="15" spans="1:25">
      <c r="A15" s="66">
        <v>2</v>
      </c>
      <c r="B15" s="106" t="s">
        <v>60</v>
      </c>
      <c r="C15" s="97">
        <v>60</v>
      </c>
      <c r="D15" s="172">
        <v>7040</v>
      </c>
      <c r="E15" s="105">
        <v>1.2</v>
      </c>
      <c r="F15" s="172">
        <f t="shared" ref="F15:F17" si="12">+D15*E15</f>
        <v>8448</v>
      </c>
      <c r="G15" s="73"/>
      <c r="H15" s="172"/>
      <c r="I15" s="173"/>
      <c r="J15" s="173"/>
      <c r="K15" s="173"/>
      <c r="L15" s="167"/>
      <c r="M15" s="172"/>
      <c r="N15" s="167"/>
      <c r="O15" s="172">
        <f>19000+5000</f>
        <v>24000</v>
      </c>
      <c r="P15" s="167"/>
      <c r="Q15" s="172">
        <f>SUM(P15*F15)</f>
        <v>0</v>
      </c>
      <c r="R15" s="176">
        <f t="shared" ref="R15" si="13">+F15+H15+I15+M15+O15+Q15</f>
        <v>32448</v>
      </c>
      <c r="S15" s="85">
        <f t="shared" ref="S15:S17" si="14">R15*C15</f>
        <v>1946880</v>
      </c>
      <c r="T15" s="85">
        <f t="shared" ref="T15:T17" si="15">(((S15+(S15*14.0135/12/12)))*3/3/29.6)*30</f>
        <v>2165212.0135135134</v>
      </c>
      <c r="U15" s="172">
        <f t="shared" ref="U15:U17" si="16">S15*2</f>
        <v>3893760</v>
      </c>
      <c r="V15" s="85">
        <f t="shared" ref="V15:V17" si="17">(S15*14.0135)/12</f>
        <v>2273550.2400000002</v>
      </c>
      <c r="W15" s="144">
        <f t="shared" ref="W15:W17" si="18">(S15*7)+T15+U15+V15</f>
        <v>21960682.253513515</v>
      </c>
      <c r="X15" s="144">
        <f t="shared" ref="X15:X17" si="19">((S15*7)+T15+V15)*0.1725</f>
        <v>3116544.0887310812</v>
      </c>
      <c r="Y15" s="144">
        <f t="shared" ref="Y15:Y17" si="20">W15+X15</f>
        <v>25077226.342244595</v>
      </c>
    </row>
    <row r="16" spans="1:25">
      <c r="A16" s="66">
        <v>3</v>
      </c>
      <c r="B16" s="106" t="s">
        <v>168</v>
      </c>
      <c r="C16" s="97">
        <v>1</v>
      </c>
      <c r="D16" s="172">
        <v>7040</v>
      </c>
      <c r="E16" s="105">
        <v>1.7</v>
      </c>
      <c r="F16" s="172">
        <f t="shared" si="12"/>
        <v>11968</v>
      </c>
      <c r="G16" s="73"/>
      <c r="H16" s="172"/>
      <c r="I16" s="173"/>
      <c r="J16" s="173"/>
      <c r="K16" s="173"/>
      <c r="L16" s="167"/>
      <c r="M16" s="172"/>
      <c r="N16" s="167"/>
      <c r="O16" s="172">
        <f>16000+3000</f>
        <v>19000</v>
      </c>
      <c r="P16" s="167">
        <v>0</v>
      </c>
      <c r="Q16" s="172"/>
      <c r="R16" s="176">
        <f>+F16+H16+I16+M16+O16+Q16</f>
        <v>30968</v>
      </c>
      <c r="S16" s="85">
        <f t="shared" si="14"/>
        <v>30968</v>
      </c>
      <c r="T16" s="85">
        <f t="shared" si="15"/>
        <v>34440.892933558556</v>
      </c>
      <c r="U16" s="172">
        <f t="shared" si="16"/>
        <v>61936</v>
      </c>
      <c r="V16" s="85">
        <f t="shared" si="17"/>
        <v>36164.172333333336</v>
      </c>
      <c r="W16" s="144">
        <f t="shared" si="18"/>
        <v>349317.06526689191</v>
      </c>
      <c r="X16" s="144">
        <f t="shared" si="19"/>
        <v>49573.233758538852</v>
      </c>
      <c r="Y16" s="144">
        <f t="shared" si="20"/>
        <v>398890.29902543075</v>
      </c>
    </row>
    <row r="17" spans="1:25">
      <c r="A17" s="66">
        <v>4</v>
      </c>
      <c r="B17" s="106" t="s">
        <v>61</v>
      </c>
      <c r="C17" s="97">
        <v>1</v>
      </c>
      <c r="D17" s="172">
        <v>7040</v>
      </c>
      <c r="E17" s="104">
        <v>1.7</v>
      </c>
      <c r="F17" s="172">
        <f t="shared" si="12"/>
        <v>11968</v>
      </c>
      <c r="G17" s="73"/>
      <c r="H17" s="172"/>
      <c r="I17" s="173"/>
      <c r="J17" s="173"/>
      <c r="K17" s="173"/>
      <c r="L17" s="167"/>
      <c r="M17" s="172"/>
      <c r="N17" s="167"/>
      <c r="O17" s="172">
        <f>13000+3000</f>
        <v>16000</v>
      </c>
      <c r="P17" s="167"/>
      <c r="Q17" s="172"/>
      <c r="R17" s="176">
        <f t="shared" ref="R17" si="21">+F17+H17+I17+M17+O17+Q17</f>
        <v>27968</v>
      </c>
      <c r="S17" s="85">
        <f t="shared" si="14"/>
        <v>27968</v>
      </c>
      <c r="T17" s="85">
        <f t="shared" si="15"/>
        <v>31104.459234234233</v>
      </c>
      <c r="U17" s="172">
        <f t="shared" si="16"/>
        <v>55936</v>
      </c>
      <c r="V17" s="85">
        <f t="shared" si="17"/>
        <v>32660.797333333336</v>
      </c>
      <c r="W17" s="144">
        <f t="shared" si="18"/>
        <v>315477.25656756759</v>
      </c>
      <c r="X17" s="144">
        <f t="shared" si="19"/>
        <v>44770.866757905402</v>
      </c>
      <c r="Y17" s="144">
        <f t="shared" si="20"/>
        <v>360248.12332547299</v>
      </c>
    </row>
    <row r="18" spans="1:25" s="115" customFormat="1">
      <c r="A18" s="65"/>
      <c r="B18" s="74" t="s">
        <v>40</v>
      </c>
      <c r="C18" s="108">
        <f>SUM(C15:C17)</f>
        <v>62</v>
      </c>
      <c r="D18" s="145">
        <f>SUM(D15:D17)</f>
        <v>21120</v>
      </c>
      <c r="E18" s="108"/>
      <c r="F18" s="145">
        <f>SUM(F15:F17)</f>
        <v>32384</v>
      </c>
      <c r="G18" s="108"/>
      <c r="H18" s="145">
        <f t="shared" ref="H18:Y18" si="22">SUM(H15:H17)</f>
        <v>0</v>
      </c>
      <c r="I18" s="145">
        <f t="shared" si="22"/>
        <v>0</v>
      </c>
      <c r="J18" s="145">
        <f t="shared" si="22"/>
        <v>0</v>
      </c>
      <c r="K18" s="145">
        <f t="shared" si="22"/>
        <v>0</v>
      </c>
      <c r="L18" s="145">
        <f t="shared" si="22"/>
        <v>0</v>
      </c>
      <c r="M18" s="145">
        <f t="shared" si="22"/>
        <v>0</v>
      </c>
      <c r="N18" s="145">
        <f t="shared" si="22"/>
        <v>0</v>
      </c>
      <c r="O18" s="145">
        <f t="shared" si="22"/>
        <v>59000</v>
      </c>
      <c r="P18" s="145">
        <f t="shared" si="22"/>
        <v>0</v>
      </c>
      <c r="Q18" s="145">
        <f t="shared" si="22"/>
        <v>0</v>
      </c>
      <c r="R18" s="145">
        <f t="shared" si="22"/>
        <v>91384</v>
      </c>
      <c r="S18" s="145">
        <f t="shared" si="22"/>
        <v>2005816</v>
      </c>
      <c r="T18" s="145">
        <f t="shared" si="22"/>
        <v>2230757.3656813065</v>
      </c>
      <c r="U18" s="145">
        <f t="shared" si="22"/>
        <v>4011632</v>
      </c>
      <c r="V18" s="145">
        <f t="shared" si="22"/>
        <v>2342375.2096666666</v>
      </c>
      <c r="W18" s="145">
        <f t="shared" si="22"/>
        <v>22625476.575347975</v>
      </c>
      <c r="X18" s="145">
        <f t="shared" si="22"/>
        <v>3210888.1892475258</v>
      </c>
      <c r="Y18" s="145">
        <f t="shared" si="22"/>
        <v>25836364.764595501</v>
      </c>
    </row>
    <row r="19" spans="1:25">
      <c r="R19" s="101"/>
      <c r="S19" s="101"/>
      <c r="T19" s="101"/>
      <c r="U19" s="101"/>
      <c r="V19" s="101"/>
      <c r="W19" s="101"/>
    </row>
    <row r="20" spans="1:25">
      <c r="W20" s="101"/>
      <c r="X20" s="101"/>
      <c r="Y20" s="101"/>
    </row>
    <row r="21" spans="1:25">
      <c r="B21" s="451" t="s">
        <v>524</v>
      </c>
      <c r="C21" s="450"/>
      <c r="D21" s="450"/>
      <c r="E21" s="450"/>
      <c r="F21" s="450"/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50"/>
      <c r="R21" s="450"/>
      <c r="S21" s="450"/>
      <c r="T21" s="450"/>
      <c r="U21" s="450"/>
      <c r="V21" s="450"/>
      <c r="W21" s="450"/>
      <c r="X21" s="450"/>
      <c r="Y21" s="450"/>
    </row>
  </sheetData>
  <mergeCells count="26">
    <mergeCell ref="B21:Y21"/>
    <mergeCell ref="X1:Y1"/>
    <mergeCell ref="T5:T6"/>
    <mergeCell ref="U5:U6"/>
    <mergeCell ref="V5:V6"/>
    <mergeCell ref="J6:K6"/>
    <mergeCell ref="L6:M6"/>
    <mergeCell ref="N6:O6"/>
    <mergeCell ref="P6:Q6"/>
    <mergeCell ref="S5:S6"/>
    <mergeCell ref="A9:Y9"/>
    <mergeCell ref="A14:Y14"/>
    <mergeCell ref="A1:R1"/>
    <mergeCell ref="A3:V3"/>
    <mergeCell ref="A5:A7"/>
    <mergeCell ref="B5:B7"/>
    <mergeCell ref="C5:C7"/>
    <mergeCell ref="D5:D7"/>
    <mergeCell ref="E5:E7"/>
    <mergeCell ref="F5:F7"/>
    <mergeCell ref="G5:Q5"/>
    <mergeCell ref="R5:R6"/>
    <mergeCell ref="W5:W6"/>
    <mergeCell ref="X5:X6"/>
    <mergeCell ref="Y5:Y6"/>
    <mergeCell ref="G6:H6"/>
  </mergeCells>
  <pageMargins left="0" right="0" top="0.74803149606299213" bottom="0.74803149606299213" header="0.31496062992125984" footer="0.31496062992125984"/>
  <pageSetup paperSize="9" scale="87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000"/>
    <pageSetUpPr fitToPage="1"/>
  </sheetPr>
  <dimension ref="A1:Y30"/>
  <sheetViews>
    <sheetView view="pageBreakPreview" topLeftCell="A13" zoomScale="115" zoomScaleNormal="100" zoomScaleSheetLayoutView="115" workbookViewId="0">
      <selection activeCell="B28" sqref="V28:W28"/>
    </sheetView>
  </sheetViews>
  <sheetFormatPr defaultColWidth="9.140625" defaultRowHeight="12.75"/>
  <cols>
    <col min="1" max="1" width="4.140625" style="64" customWidth="1"/>
    <col min="2" max="2" width="28.42578125" style="64" customWidth="1"/>
    <col min="3" max="3" width="4.85546875" style="64" customWidth="1"/>
    <col min="4" max="4" width="7.28515625" style="64" customWidth="1"/>
    <col min="5" max="5" width="5.5703125" style="64" customWidth="1"/>
    <col min="6" max="6" width="9.140625" style="64"/>
    <col min="7" max="7" width="6.140625" style="64" customWidth="1"/>
    <col min="8" max="8" width="7.28515625" style="64" customWidth="1"/>
    <col min="9" max="9" width="6.28515625" style="64" hidden="1" customWidth="1"/>
    <col min="10" max="11" width="6.85546875" style="64" hidden="1" customWidth="1"/>
    <col min="12" max="12" width="8.140625" style="64" hidden="1" customWidth="1"/>
    <col min="13" max="13" width="7.7109375" style="64" hidden="1" customWidth="1"/>
    <col min="14" max="14" width="6.140625" style="64" customWidth="1"/>
    <col min="15" max="15" width="7.42578125" style="64" customWidth="1"/>
    <col min="16" max="16" width="4.5703125" style="64" bestFit="1" customWidth="1"/>
    <col min="17" max="17" width="6.42578125" style="64" bestFit="1" customWidth="1"/>
    <col min="18" max="18" width="7.7109375" style="64" customWidth="1"/>
    <col min="19" max="19" width="8.7109375" style="64" customWidth="1"/>
    <col min="20" max="20" width="9.28515625" style="64" customWidth="1"/>
    <col min="21" max="21" width="10.7109375" style="64" customWidth="1"/>
    <col min="22" max="22" width="9" style="64" customWidth="1"/>
    <col min="23" max="23" width="9.85546875" style="64" bestFit="1" customWidth="1"/>
    <col min="24" max="24" width="10.5703125" style="64" bestFit="1" customWidth="1"/>
    <col min="25" max="25" width="11.7109375" style="64" customWidth="1"/>
    <col min="26" max="16384" width="9.140625" style="64"/>
  </cols>
  <sheetData>
    <row r="1" spans="1:25" s="5" customFormat="1" ht="69.599999999999994" customHeight="1">
      <c r="A1" s="442"/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  <c r="P1" s="442"/>
      <c r="Q1" s="442"/>
      <c r="R1" s="442"/>
      <c r="V1" s="3"/>
      <c r="X1" s="399" t="s">
        <v>525</v>
      </c>
      <c r="Y1" s="399"/>
    </row>
    <row r="2" spans="1:25" s="5" customFormat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V2" s="13"/>
    </row>
    <row r="3" spans="1:25" s="5" customFormat="1">
      <c r="A3" s="442" t="s">
        <v>156</v>
      </c>
      <c r="B3" s="442"/>
      <c r="C3" s="442"/>
      <c r="D3" s="442"/>
      <c r="E3" s="442"/>
      <c r="F3" s="442"/>
      <c r="G3" s="442"/>
      <c r="H3" s="442"/>
      <c r="I3" s="442"/>
      <c r="J3" s="442"/>
      <c r="K3" s="442"/>
      <c r="L3" s="442"/>
      <c r="M3" s="442"/>
      <c r="N3" s="442"/>
      <c r="O3" s="442"/>
      <c r="P3" s="442"/>
      <c r="Q3" s="442"/>
      <c r="R3" s="442"/>
      <c r="S3" s="442"/>
      <c r="T3" s="442"/>
      <c r="U3" s="442"/>
      <c r="V3" s="442"/>
    </row>
    <row r="5" spans="1:25" ht="15.75" customHeight="1">
      <c r="A5" s="456" t="s">
        <v>0</v>
      </c>
      <c r="B5" s="456" t="s">
        <v>20</v>
      </c>
      <c r="C5" s="456" t="s">
        <v>21</v>
      </c>
      <c r="D5" s="456" t="s">
        <v>22</v>
      </c>
      <c r="E5" s="456" t="s">
        <v>103</v>
      </c>
      <c r="F5" s="459" t="s">
        <v>23</v>
      </c>
      <c r="G5" s="460" t="s">
        <v>104</v>
      </c>
      <c r="H5" s="461"/>
      <c r="I5" s="461"/>
      <c r="J5" s="461"/>
      <c r="K5" s="461"/>
      <c r="L5" s="461"/>
      <c r="M5" s="461"/>
      <c r="N5" s="461"/>
      <c r="O5" s="461"/>
      <c r="P5" s="461"/>
      <c r="Q5" s="462"/>
      <c r="R5" s="456" t="s">
        <v>28</v>
      </c>
      <c r="S5" s="456" t="s">
        <v>166</v>
      </c>
      <c r="T5" s="456" t="s">
        <v>105</v>
      </c>
      <c r="U5" s="456" t="s">
        <v>106</v>
      </c>
      <c r="V5" s="456" t="s">
        <v>108</v>
      </c>
      <c r="W5" s="457" t="s">
        <v>110</v>
      </c>
      <c r="X5" s="457" t="s">
        <v>111</v>
      </c>
      <c r="Y5" s="457" t="s">
        <v>112</v>
      </c>
    </row>
    <row r="6" spans="1:25" ht="96" customHeight="1">
      <c r="A6" s="456"/>
      <c r="B6" s="456"/>
      <c r="C6" s="456"/>
      <c r="D6" s="456"/>
      <c r="E6" s="456"/>
      <c r="F6" s="459"/>
      <c r="G6" s="456" t="s">
        <v>85</v>
      </c>
      <c r="H6" s="456"/>
      <c r="I6" s="117" t="s">
        <v>25</v>
      </c>
      <c r="J6" s="456" t="s">
        <v>24</v>
      </c>
      <c r="K6" s="456"/>
      <c r="L6" s="463" t="s">
        <v>114</v>
      </c>
      <c r="M6" s="464"/>
      <c r="N6" s="456" t="s">
        <v>26</v>
      </c>
      <c r="O6" s="456"/>
      <c r="P6" s="465" t="s">
        <v>115</v>
      </c>
      <c r="Q6" s="466"/>
      <c r="R6" s="456"/>
      <c r="S6" s="456"/>
      <c r="T6" s="456"/>
      <c r="U6" s="456"/>
      <c r="V6" s="456"/>
      <c r="W6" s="458"/>
      <c r="X6" s="458"/>
      <c r="Y6" s="458"/>
    </row>
    <row r="7" spans="1:25" ht="27.75" customHeight="1">
      <c r="A7" s="456"/>
      <c r="B7" s="456"/>
      <c r="C7" s="456"/>
      <c r="D7" s="456"/>
      <c r="E7" s="456"/>
      <c r="F7" s="459"/>
      <c r="G7" s="65" t="s">
        <v>3</v>
      </c>
      <c r="H7" s="65" t="s">
        <v>29</v>
      </c>
      <c r="I7" s="65" t="s">
        <v>29</v>
      </c>
      <c r="J7" s="65" t="s">
        <v>3</v>
      </c>
      <c r="K7" s="65" t="s">
        <v>29</v>
      </c>
      <c r="L7" s="65" t="s">
        <v>3</v>
      </c>
      <c r="M7" s="65" t="s">
        <v>29</v>
      </c>
      <c r="N7" s="65" t="s">
        <v>3</v>
      </c>
      <c r="O7" s="65" t="s">
        <v>29</v>
      </c>
      <c r="P7" s="65" t="s">
        <v>3</v>
      </c>
      <c r="Q7" s="65" t="s">
        <v>29</v>
      </c>
      <c r="R7" s="65" t="s">
        <v>29</v>
      </c>
      <c r="S7" s="65" t="s">
        <v>29</v>
      </c>
      <c r="T7" s="65" t="s">
        <v>29</v>
      </c>
      <c r="U7" s="65" t="s">
        <v>29</v>
      </c>
      <c r="V7" s="65" t="s">
        <v>29</v>
      </c>
      <c r="W7" s="65" t="s">
        <v>29</v>
      </c>
      <c r="X7" s="65" t="s">
        <v>29</v>
      </c>
      <c r="Y7" s="65" t="s">
        <v>29</v>
      </c>
    </row>
    <row r="8" spans="1:25">
      <c r="A8" s="65">
        <v>1</v>
      </c>
      <c r="B8" s="65">
        <v>2</v>
      </c>
      <c r="C8" s="65">
        <v>3</v>
      </c>
      <c r="D8" s="65">
        <v>4</v>
      </c>
      <c r="E8" s="65">
        <v>5</v>
      </c>
      <c r="F8" s="65">
        <v>6</v>
      </c>
      <c r="G8" s="65">
        <v>7</v>
      </c>
      <c r="H8" s="65">
        <v>8</v>
      </c>
      <c r="I8" s="65">
        <v>9</v>
      </c>
      <c r="J8" s="65">
        <v>10</v>
      </c>
      <c r="K8" s="65">
        <v>11</v>
      </c>
      <c r="L8" s="65">
        <v>12</v>
      </c>
      <c r="M8" s="65">
        <v>13</v>
      </c>
      <c r="N8" s="65">
        <v>9</v>
      </c>
      <c r="O8" s="65">
        <v>10</v>
      </c>
      <c r="P8" s="65">
        <v>11</v>
      </c>
      <c r="Q8" s="65">
        <v>12</v>
      </c>
      <c r="R8" s="65">
        <v>13</v>
      </c>
      <c r="S8" s="65">
        <v>14</v>
      </c>
      <c r="T8" s="65">
        <v>15</v>
      </c>
      <c r="U8" s="65">
        <v>16</v>
      </c>
      <c r="V8" s="65">
        <v>17</v>
      </c>
      <c r="W8" s="65">
        <v>18</v>
      </c>
      <c r="X8" s="65">
        <v>19</v>
      </c>
      <c r="Y8" s="65">
        <v>20</v>
      </c>
    </row>
    <row r="9" spans="1:25">
      <c r="A9" s="460" t="s">
        <v>354</v>
      </c>
      <c r="B9" s="461"/>
      <c r="C9" s="461"/>
      <c r="D9" s="461"/>
      <c r="E9" s="461"/>
      <c r="F9" s="461"/>
      <c r="G9" s="461"/>
      <c r="H9" s="461"/>
      <c r="I9" s="461"/>
      <c r="J9" s="461"/>
      <c r="K9" s="461"/>
      <c r="L9" s="461"/>
      <c r="M9" s="461"/>
      <c r="N9" s="461"/>
      <c r="O9" s="461"/>
      <c r="P9" s="461"/>
      <c r="Q9" s="461"/>
      <c r="R9" s="461"/>
      <c r="S9" s="461"/>
      <c r="T9" s="461"/>
      <c r="U9" s="461"/>
      <c r="V9" s="461"/>
      <c r="W9" s="461"/>
      <c r="X9" s="461"/>
      <c r="Y9" s="462"/>
    </row>
    <row r="10" spans="1:25">
      <c r="A10" s="66">
        <v>21</v>
      </c>
      <c r="B10" s="15" t="s">
        <v>36</v>
      </c>
      <c r="C10" s="97">
        <v>1</v>
      </c>
      <c r="D10" s="176">
        <v>7040</v>
      </c>
      <c r="E10" s="104">
        <v>1</v>
      </c>
      <c r="F10" s="176">
        <f t="shared" ref="F10:F16" si="0">+D10*E10</f>
        <v>7040</v>
      </c>
      <c r="G10" s="73"/>
      <c r="H10" s="176"/>
      <c r="I10" s="70"/>
      <c r="J10" s="70"/>
      <c r="K10" s="70"/>
      <c r="L10" s="73"/>
      <c r="M10" s="67"/>
      <c r="N10" s="73"/>
      <c r="O10" s="176">
        <f>3000+1000</f>
        <v>4000</v>
      </c>
      <c r="P10" s="73">
        <v>0.25</v>
      </c>
      <c r="Q10" s="172">
        <f>F10*P10</f>
        <v>1760</v>
      </c>
      <c r="R10" s="176">
        <f t="shared" ref="R10:R16" si="1">+F10+H10+I10+M10+O10+Q10</f>
        <v>12800</v>
      </c>
      <c r="S10" s="85">
        <f t="shared" ref="S10:S16" si="2">R10*C10</f>
        <v>12800</v>
      </c>
      <c r="T10" s="85">
        <f t="shared" ref="T10:T16" si="3">(((S10+(S10*14.0135/12/12)))*3/3/29.6)*30</f>
        <v>14235.450450450449</v>
      </c>
      <c r="U10" s="172">
        <f t="shared" ref="U10:U16" si="4">S10*2</f>
        <v>25600</v>
      </c>
      <c r="V10" s="85">
        <f t="shared" ref="V10:V16" si="5">(S10*14.0135)/12</f>
        <v>14947.733333333335</v>
      </c>
      <c r="W10" s="144">
        <f>(S10*7)+T10+U10+V10</f>
        <v>144383.18378378378</v>
      </c>
      <c r="X10" s="144">
        <f>((S10*7)+T10+V10)*0.1725</f>
        <v>20490.099202702702</v>
      </c>
      <c r="Y10" s="144">
        <f t="shared" ref="Y10:Y16" si="6">W10+X10</f>
        <v>164873.28298648648</v>
      </c>
    </row>
    <row r="11" spans="1:25">
      <c r="A11" s="66">
        <v>22</v>
      </c>
      <c r="B11" s="15" t="s">
        <v>30</v>
      </c>
      <c r="C11" s="97">
        <v>22</v>
      </c>
      <c r="D11" s="176">
        <v>7040</v>
      </c>
      <c r="E11" s="104">
        <v>1.6</v>
      </c>
      <c r="F11" s="176">
        <f t="shared" si="0"/>
        <v>11264</v>
      </c>
      <c r="G11" s="73"/>
      <c r="H11" s="176"/>
      <c r="I11" s="70"/>
      <c r="J11" s="70"/>
      <c r="K11" s="70"/>
      <c r="L11" s="73"/>
      <c r="M11" s="67"/>
      <c r="N11" s="73"/>
      <c r="O11" s="176">
        <f>16000+4500</f>
        <v>20500</v>
      </c>
      <c r="P11" s="73"/>
      <c r="Q11" s="172"/>
      <c r="R11" s="176">
        <f t="shared" si="1"/>
        <v>31764</v>
      </c>
      <c r="S11" s="85">
        <f t="shared" si="2"/>
        <v>698808</v>
      </c>
      <c r="T11" s="85">
        <f t="shared" si="3"/>
        <v>777175.52018581086</v>
      </c>
      <c r="U11" s="172">
        <f t="shared" si="4"/>
        <v>1397616</v>
      </c>
      <c r="V11" s="85">
        <f t="shared" si="5"/>
        <v>816062.15899999999</v>
      </c>
      <c r="W11" s="144">
        <f t="shared" ref="W11:W16" si="7">(S11*7)+T11+U11+V11</f>
        <v>7882509.6791858105</v>
      </c>
      <c r="X11" s="144">
        <f t="shared" ref="X11:X16" si="8">((S11*7)+T11+V11)*0.1725</f>
        <v>1118644.1596595522</v>
      </c>
      <c r="Y11" s="144">
        <f t="shared" si="6"/>
        <v>9001153.8388453629</v>
      </c>
    </row>
    <row r="12" spans="1:25">
      <c r="A12" s="66">
        <v>24</v>
      </c>
      <c r="B12" s="15" t="s">
        <v>57</v>
      </c>
      <c r="C12" s="97">
        <v>2</v>
      </c>
      <c r="D12" s="176">
        <v>7040</v>
      </c>
      <c r="E12" s="105">
        <v>1.6</v>
      </c>
      <c r="F12" s="176">
        <f t="shared" si="0"/>
        <v>11264</v>
      </c>
      <c r="G12" s="79"/>
      <c r="H12" s="176"/>
      <c r="I12" s="79"/>
      <c r="J12" s="79"/>
      <c r="K12" s="79"/>
      <c r="L12" s="73"/>
      <c r="M12" s="67"/>
      <c r="N12" s="73"/>
      <c r="O12" s="176">
        <f>16000+2000</f>
        <v>18000</v>
      </c>
      <c r="P12" s="73"/>
      <c r="Q12" s="172"/>
      <c r="R12" s="176">
        <f t="shared" si="1"/>
        <v>29264</v>
      </c>
      <c r="S12" s="85">
        <f t="shared" si="2"/>
        <v>58528</v>
      </c>
      <c r="T12" s="85">
        <f t="shared" si="3"/>
        <v>65091.597184684681</v>
      </c>
      <c r="U12" s="172">
        <f t="shared" si="4"/>
        <v>117056</v>
      </c>
      <c r="V12" s="85">
        <f t="shared" si="5"/>
        <v>68348.510666666669</v>
      </c>
      <c r="W12" s="144">
        <f t="shared" si="7"/>
        <v>660192.10785135138</v>
      </c>
      <c r="X12" s="144">
        <f t="shared" si="8"/>
        <v>93690.978604358112</v>
      </c>
      <c r="Y12" s="144">
        <f t="shared" si="6"/>
        <v>753883.08645570953</v>
      </c>
    </row>
    <row r="13" spans="1:25">
      <c r="A13" s="66">
        <v>25</v>
      </c>
      <c r="B13" s="106" t="s">
        <v>59</v>
      </c>
      <c r="C13" s="97">
        <v>1</v>
      </c>
      <c r="D13" s="176">
        <v>7040</v>
      </c>
      <c r="E13" s="105">
        <v>1.1399999999999999</v>
      </c>
      <c r="F13" s="176">
        <f t="shared" si="0"/>
        <v>8025.5999999999995</v>
      </c>
      <c r="G13" s="73"/>
      <c r="H13" s="176"/>
      <c r="I13" s="70"/>
      <c r="J13" s="70"/>
      <c r="K13" s="70"/>
      <c r="L13" s="73"/>
      <c r="M13" s="67"/>
      <c r="N13" s="73"/>
      <c r="O13" s="176">
        <f>12000+3000</f>
        <v>15000</v>
      </c>
      <c r="P13" s="73"/>
      <c r="Q13" s="172"/>
      <c r="R13" s="176">
        <f t="shared" si="1"/>
        <v>23025.599999999999</v>
      </c>
      <c r="S13" s="85">
        <f t="shared" si="2"/>
        <v>23025.599999999999</v>
      </c>
      <c r="T13" s="85">
        <f t="shared" si="3"/>
        <v>25607.795929054053</v>
      </c>
      <c r="U13" s="172">
        <f t="shared" si="4"/>
        <v>46051.199999999997</v>
      </c>
      <c r="V13" s="85">
        <f t="shared" si="5"/>
        <v>26889.103799999997</v>
      </c>
      <c r="W13" s="144">
        <f t="shared" si="7"/>
        <v>259727.29972905404</v>
      </c>
      <c r="X13" s="144">
        <f t="shared" si="8"/>
        <v>36859.127203261814</v>
      </c>
      <c r="Y13" s="144">
        <f t="shared" si="6"/>
        <v>296586.42693231587</v>
      </c>
    </row>
    <row r="14" spans="1:25">
      <c r="A14" s="66">
        <v>26</v>
      </c>
      <c r="B14" s="106" t="s">
        <v>83</v>
      </c>
      <c r="C14" s="97">
        <v>1</v>
      </c>
      <c r="D14" s="176">
        <v>7040</v>
      </c>
      <c r="E14" s="105">
        <v>1.1399999999999999</v>
      </c>
      <c r="F14" s="176">
        <f t="shared" si="0"/>
        <v>8025.5999999999995</v>
      </c>
      <c r="G14" s="73"/>
      <c r="H14" s="176"/>
      <c r="I14" s="70"/>
      <c r="J14" s="70"/>
      <c r="K14" s="70"/>
      <c r="L14" s="73"/>
      <c r="M14" s="67"/>
      <c r="N14" s="73"/>
      <c r="O14" s="176">
        <f>19000+2000</f>
        <v>21000</v>
      </c>
      <c r="P14" s="73"/>
      <c r="Q14" s="172"/>
      <c r="R14" s="176">
        <f t="shared" si="1"/>
        <v>29025.599999999999</v>
      </c>
      <c r="S14" s="85">
        <f t="shared" si="2"/>
        <v>29025.599999999999</v>
      </c>
      <c r="T14" s="85">
        <f t="shared" si="3"/>
        <v>32280.663327702707</v>
      </c>
      <c r="U14" s="172">
        <f t="shared" si="4"/>
        <v>58051.199999999997</v>
      </c>
      <c r="V14" s="85">
        <f t="shared" si="5"/>
        <v>33895.853799999997</v>
      </c>
      <c r="W14" s="144">
        <f t="shared" si="7"/>
        <v>327406.91712770268</v>
      </c>
      <c r="X14" s="144">
        <f t="shared" si="8"/>
        <v>46463.861204528708</v>
      </c>
      <c r="Y14" s="144">
        <f t="shared" si="6"/>
        <v>373870.77833223139</v>
      </c>
    </row>
    <row r="15" spans="1:25">
      <c r="A15" s="66">
        <v>27</v>
      </c>
      <c r="B15" s="106" t="s">
        <v>58</v>
      </c>
      <c r="C15" s="97">
        <v>35</v>
      </c>
      <c r="D15" s="176">
        <v>7040</v>
      </c>
      <c r="E15" s="105">
        <v>1</v>
      </c>
      <c r="F15" s="176">
        <f t="shared" si="0"/>
        <v>7040</v>
      </c>
      <c r="G15" s="73"/>
      <c r="H15" s="176"/>
      <c r="I15" s="70"/>
      <c r="J15" s="70"/>
      <c r="K15" s="70"/>
      <c r="L15" s="73"/>
      <c r="M15" s="67"/>
      <c r="N15" s="73"/>
      <c r="O15" s="176">
        <f>19000+5000</f>
        <v>24000</v>
      </c>
      <c r="P15" s="73"/>
      <c r="Q15" s="172"/>
      <c r="R15" s="176">
        <f t="shared" si="1"/>
        <v>31040</v>
      </c>
      <c r="S15" s="85">
        <f t="shared" si="2"/>
        <v>1086400</v>
      </c>
      <c r="T15" s="85">
        <f t="shared" si="3"/>
        <v>1208233.8569819818</v>
      </c>
      <c r="U15" s="172">
        <f t="shared" si="4"/>
        <v>2172800</v>
      </c>
      <c r="V15" s="85">
        <f t="shared" si="5"/>
        <v>1268688.8666666667</v>
      </c>
      <c r="W15" s="144">
        <f t="shared" si="7"/>
        <v>12254522.723648649</v>
      </c>
      <c r="X15" s="144">
        <f t="shared" si="8"/>
        <v>1739097.1698293919</v>
      </c>
      <c r="Y15" s="144">
        <f t="shared" si="6"/>
        <v>13993619.89347804</v>
      </c>
    </row>
    <row r="16" spans="1:25">
      <c r="A16" s="66">
        <v>29</v>
      </c>
      <c r="B16" s="106" t="s">
        <v>33</v>
      </c>
      <c r="C16" s="97">
        <v>5</v>
      </c>
      <c r="D16" s="176">
        <v>7040</v>
      </c>
      <c r="E16" s="105">
        <v>1</v>
      </c>
      <c r="F16" s="176">
        <f t="shared" si="0"/>
        <v>7040</v>
      </c>
      <c r="G16" s="73"/>
      <c r="H16" s="176"/>
      <c r="I16" s="70"/>
      <c r="J16" s="70"/>
      <c r="K16" s="70"/>
      <c r="L16" s="73"/>
      <c r="M16" s="67"/>
      <c r="N16" s="73">
        <v>0.3</v>
      </c>
      <c r="O16" s="176">
        <f>F16*N16+2000</f>
        <v>4112</v>
      </c>
      <c r="P16" s="73">
        <v>0.5</v>
      </c>
      <c r="Q16" s="172">
        <f>SUM(P16*F16)</f>
        <v>3520</v>
      </c>
      <c r="R16" s="176">
        <f t="shared" si="1"/>
        <v>14672</v>
      </c>
      <c r="S16" s="85">
        <f t="shared" si="2"/>
        <v>73360</v>
      </c>
      <c r="T16" s="85">
        <f t="shared" si="3"/>
        <v>81586.925394144142</v>
      </c>
      <c r="U16" s="172">
        <f t="shared" si="4"/>
        <v>146720</v>
      </c>
      <c r="V16" s="85">
        <f t="shared" si="5"/>
        <v>85669.19666666667</v>
      </c>
      <c r="W16" s="144">
        <f t="shared" si="7"/>
        <v>827496.1220608108</v>
      </c>
      <c r="X16" s="144">
        <f t="shared" si="8"/>
        <v>117433.88105548985</v>
      </c>
      <c r="Y16" s="144">
        <f t="shared" si="6"/>
        <v>944930.00311630068</v>
      </c>
    </row>
    <row r="17" spans="1:25">
      <c r="A17" s="90"/>
      <c r="B17" s="72" t="s">
        <v>39</v>
      </c>
      <c r="C17" s="91">
        <f>SUM(C10:C16)</f>
        <v>67</v>
      </c>
      <c r="D17" s="316">
        <f t="shared" ref="D17:Y17" si="9">SUM(D10:D16)</f>
        <v>49280</v>
      </c>
      <c r="E17" s="316"/>
      <c r="F17" s="316">
        <f t="shared" si="9"/>
        <v>59699.199999999997</v>
      </c>
      <c r="G17" s="316">
        <f t="shared" si="9"/>
        <v>0</v>
      </c>
      <c r="H17" s="316">
        <f t="shared" si="9"/>
        <v>0</v>
      </c>
      <c r="I17" s="316">
        <f t="shared" si="9"/>
        <v>0</v>
      </c>
      <c r="J17" s="316">
        <f t="shared" si="9"/>
        <v>0</v>
      </c>
      <c r="K17" s="316">
        <f t="shared" si="9"/>
        <v>0</v>
      </c>
      <c r="L17" s="316">
        <f t="shared" si="9"/>
        <v>0</v>
      </c>
      <c r="M17" s="316">
        <f t="shared" si="9"/>
        <v>0</v>
      </c>
      <c r="N17" s="316">
        <f t="shared" si="9"/>
        <v>0.3</v>
      </c>
      <c r="O17" s="316">
        <f t="shared" si="9"/>
        <v>106612</v>
      </c>
      <c r="P17" s="316">
        <f t="shared" si="9"/>
        <v>0.75</v>
      </c>
      <c r="Q17" s="316">
        <f t="shared" si="9"/>
        <v>5280</v>
      </c>
      <c r="R17" s="316">
        <f t="shared" si="9"/>
        <v>171591.2</v>
      </c>
      <c r="S17" s="316">
        <f t="shared" si="9"/>
        <v>1981947.2</v>
      </c>
      <c r="T17" s="316">
        <f t="shared" si="9"/>
        <v>2204211.8094538283</v>
      </c>
      <c r="U17" s="316">
        <f t="shared" si="9"/>
        <v>3963894.4</v>
      </c>
      <c r="V17" s="316">
        <f t="shared" si="9"/>
        <v>2314501.4239333333</v>
      </c>
      <c r="W17" s="316">
        <f t="shared" si="9"/>
        <v>22356238.033387158</v>
      </c>
      <c r="X17" s="316">
        <f t="shared" si="9"/>
        <v>3172679.276759285</v>
      </c>
      <c r="Y17" s="316">
        <f t="shared" si="9"/>
        <v>25528917.310146451</v>
      </c>
    </row>
    <row r="18" spans="1:25" ht="13.9" customHeight="1">
      <c r="A18" s="460" t="s">
        <v>355</v>
      </c>
      <c r="B18" s="461"/>
      <c r="C18" s="461"/>
      <c r="D18" s="461"/>
      <c r="E18" s="461"/>
      <c r="F18" s="461"/>
      <c r="G18" s="461"/>
      <c r="H18" s="461"/>
      <c r="I18" s="461"/>
      <c r="J18" s="461"/>
      <c r="K18" s="461"/>
      <c r="L18" s="461"/>
      <c r="M18" s="461"/>
      <c r="N18" s="461"/>
      <c r="O18" s="461"/>
      <c r="P18" s="461"/>
      <c r="Q18" s="461"/>
      <c r="R18" s="461"/>
      <c r="S18" s="461"/>
      <c r="T18" s="461"/>
      <c r="U18" s="461"/>
      <c r="V18" s="461"/>
      <c r="W18" s="461"/>
      <c r="X18" s="461"/>
      <c r="Y18" s="462"/>
    </row>
    <row r="19" spans="1:25">
      <c r="A19" s="66">
        <v>21</v>
      </c>
      <c r="B19" s="15" t="s">
        <v>36</v>
      </c>
      <c r="C19" s="97">
        <v>1</v>
      </c>
      <c r="D19" s="176">
        <v>7040</v>
      </c>
      <c r="E19" s="104">
        <v>1.2</v>
      </c>
      <c r="F19" s="176">
        <f t="shared" ref="F19:F25" si="10">+D19*E19</f>
        <v>8448</v>
      </c>
      <c r="G19" s="73"/>
      <c r="H19" s="176"/>
      <c r="I19" s="70"/>
      <c r="J19" s="70"/>
      <c r="K19" s="70"/>
      <c r="L19" s="73"/>
      <c r="M19" s="67"/>
      <c r="N19" s="73"/>
      <c r="O19" s="176">
        <f>3000+1000</f>
        <v>4000</v>
      </c>
      <c r="P19" s="73">
        <v>0.25</v>
      </c>
      <c r="Q19" s="172">
        <f>F19*P19</f>
        <v>2112</v>
      </c>
      <c r="R19" s="176">
        <f t="shared" ref="R19:R25" si="11">+F19+H19+I19+M19+O19+Q19</f>
        <v>14560</v>
      </c>
      <c r="S19" s="85">
        <f t="shared" ref="S19:S25" si="12">R19*C19</f>
        <v>14560</v>
      </c>
      <c r="T19" s="85">
        <f t="shared" ref="T19:T25" si="13">(((S19+(S19*14.0135/12/12)))*3/3/29.6)*30</f>
        <v>16192.824887387389</v>
      </c>
      <c r="U19" s="172">
        <f t="shared" ref="U19:U25" si="14">S19*2</f>
        <v>29120</v>
      </c>
      <c r="V19" s="85">
        <f t="shared" ref="V19:V25" si="15">(S19*14.0135)/12</f>
        <v>17003.046666666665</v>
      </c>
      <c r="W19" s="144">
        <f t="shared" ref="W19:W25" si="16">(S19*7)+T19+U19+V19</f>
        <v>164235.87155405406</v>
      </c>
      <c r="X19" s="144">
        <f t="shared" ref="X19:X25" si="17">((S19*7)+T19+V19)*0.1725</f>
        <v>23307.487843074323</v>
      </c>
      <c r="Y19" s="144">
        <f t="shared" ref="Y19:Y25" si="18">W19+X19</f>
        <v>187543.35939712837</v>
      </c>
    </row>
    <row r="20" spans="1:25">
      <c r="A20" s="66">
        <v>22</v>
      </c>
      <c r="B20" s="15" t="s">
        <v>30</v>
      </c>
      <c r="C20" s="97">
        <v>22</v>
      </c>
      <c r="D20" s="176">
        <v>7040</v>
      </c>
      <c r="E20" s="104">
        <v>1.7</v>
      </c>
      <c r="F20" s="176">
        <f t="shared" si="10"/>
        <v>11968</v>
      </c>
      <c r="G20" s="73"/>
      <c r="H20" s="176"/>
      <c r="I20" s="70"/>
      <c r="J20" s="70"/>
      <c r="K20" s="70"/>
      <c r="L20" s="73"/>
      <c r="M20" s="67"/>
      <c r="N20" s="73"/>
      <c r="O20" s="176">
        <f>16000+4500</f>
        <v>20500</v>
      </c>
      <c r="P20" s="73"/>
      <c r="Q20" s="172"/>
      <c r="R20" s="176">
        <f t="shared" si="11"/>
        <v>32468</v>
      </c>
      <c r="S20" s="85">
        <f t="shared" si="12"/>
        <v>714296</v>
      </c>
      <c r="T20" s="85">
        <f t="shared" si="13"/>
        <v>794400.41523085581</v>
      </c>
      <c r="U20" s="172">
        <f t="shared" si="14"/>
        <v>1428592</v>
      </c>
      <c r="V20" s="85">
        <f t="shared" si="15"/>
        <v>834148.91633333347</v>
      </c>
      <c r="W20" s="144">
        <f t="shared" si="16"/>
        <v>8057213.3315641889</v>
      </c>
      <c r="X20" s="144">
        <f t="shared" si="17"/>
        <v>1143437.1796948225</v>
      </c>
      <c r="Y20" s="144">
        <f t="shared" si="18"/>
        <v>9200650.5112590119</v>
      </c>
    </row>
    <row r="21" spans="1:25">
      <c r="A21" s="66">
        <v>24</v>
      </c>
      <c r="B21" s="15" t="s">
        <v>57</v>
      </c>
      <c r="C21" s="97">
        <v>2</v>
      </c>
      <c r="D21" s="176">
        <v>7040</v>
      </c>
      <c r="E21" s="105">
        <v>1.7</v>
      </c>
      <c r="F21" s="176">
        <f t="shared" si="10"/>
        <v>11968</v>
      </c>
      <c r="G21" s="79"/>
      <c r="H21" s="176"/>
      <c r="I21" s="79"/>
      <c r="J21" s="79"/>
      <c r="K21" s="79"/>
      <c r="L21" s="73"/>
      <c r="M21" s="67"/>
      <c r="N21" s="73"/>
      <c r="O21" s="176">
        <f>16000+2000</f>
        <v>18000</v>
      </c>
      <c r="P21" s="73"/>
      <c r="Q21" s="172"/>
      <c r="R21" s="176">
        <f t="shared" si="11"/>
        <v>29968</v>
      </c>
      <c r="S21" s="85">
        <f t="shared" si="12"/>
        <v>59936</v>
      </c>
      <c r="T21" s="85">
        <f t="shared" si="13"/>
        <v>66657.496734234228</v>
      </c>
      <c r="U21" s="172">
        <f t="shared" si="14"/>
        <v>119872</v>
      </c>
      <c r="V21" s="85">
        <f t="shared" si="15"/>
        <v>69992.761333333343</v>
      </c>
      <c r="W21" s="144">
        <f t="shared" si="16"/>
        <v>676074.2580675676</v>
      </c>
      <c r="X21" s="144">
        <f t="shared" si="17"/>
        <v>95944.889516655399</v>
      </c>
      <c r="Y21" s="144">
        <f t="shared" si="18"/>
        <v>772019.14758422296</v>
      </c>
    </row>
    <row r="22" spans="1:25">
      <c r="A22" s="66">
        <v>25</v>
      </c>
      <c r="B22" s="106" t="s">
        <v>59</v>
      </c>
      <c r="C22" s="97">
        <v>1</v>
      </c>
      <c r="D22" s="176">
        <v>7040</v>
      </c>
      <c r="E22" s="105">
        <v>1.4</v>
      </c>
      <c r="F22" s="176">
        <f t="shared" si="10"/>
        <v>9856</v>
      </c>
      <c r="G22" s="73"/>
      <c r="H22" s="176"/>
      <c r="I22" s="70"/>
      <c r="J22" s="70"/>
      <c r="K22" s="70"/>
      <c r="L22" s="73"/>
      <c r="M22" s="67"/>
      <c r="N22" s="73"/>
      <c r="O22" s="176">
        <f>12000+3000</f>
        <v>15000</v>
      </c>
      <c r="P22" s="73"/>
      <c r="Q22" s="172"/>
      <c r="R22" s="176">
        <f t="shared" si="11"/>
        <v>24856</v>
      </c>
      <c r="S22" s="85">
        <f t="shared" si="12"/>
        <v>24856</v>
      </c>
      <c r="T22" s="85">
        <f t="shared" si="13"/>
        <v>27643.46534346847</v>
      </c>
      <c r="U22" s="172">
        <f t="shared" si="14"/>
        <v>49712</v>
      </c>
      <c r="V22" s="85">
        <f t="shared" si="15"/>
        <v>29026.629666666671</v>
      </c>
      <c r="W22" s="144">
        <f t="shared" si="16"/>
        <v>280374.09501013515</v>
      </c>
      <c r="X22" s="144">
        <f t="shared" si="17"/>
        <v>39789.21138924831</v>
      </c>
      <c r="Y22" s="144">
        <f t="shared" si="18"/>
        <v>320163.30639938347</v>
      </c>
    </row>
    <row r="23" spans="1:25">
      <c r="A23" s="66">
        <v>26</v>
      </c>
      <c r="B23" s="106" t="s">
        <v>83</v>
      </c>
      <c r="C23" s="97">
        <v>1</v>
      </c>
      <c r="D23" s="176">
        <v>7040</v>
      </c>
      <c r="E23" s="105">
        <v>1.4</v>
      </c>
      <c r="F23" s="176">
        <f t="shared" si="10"/>
        <v>9856</v>
      </c>
      <c r="G23" s="73"/>
      <c r="H23" s="176"/>
      <c r="I23" s="70"/>
      <c r="J23" s="70"/>
      <c r="K23" s="70"/>
      <c r="L23" s="73"/>
      <c r="M23" s="67"/>
      <c r="N23" s="73"/>
      <c r="O23" s="176">
        <f>19000+2000</f>
        <v>21000</v>
      </c>
      <c r="P23" s="73"/>
      <c r="Q23" s="172"/>
      <c r="R23" s="176">
        <f t="shared" si="11"/>
        <v>30856</v>
      </c>
      <c r="S23" s="85">
        <f t="shared" si="12"/>
        <v>30856</v>
      </c>
      <c r="T23" s="85">
        <f t="shared" si="13"/>
        <v>34316.332742117113</v>
      </c>
      <c r="U23" s="172">
        <f t="shared" si="14"/>
        <v>61712</v>
      </c>
      <c r="V23" s="85">
        <f t="shared" si="15"/>
        <v>36033.379666666668</v>
      </c>
      <c r="W23" s="144">
        <f t="shared" si="16"/>
        <v>348053.71240878379</v>
      </c>
      <c r="X23" s="144">
        <f t="shared" si="17"/>
        <v>49393.945390515197</v>
      </c>
      <c r="Y23" s="144">
        <f t="shared" si="18"/>
        <v>397447.65779929899</v>
      </c>
    </row>
    <row r="24" spans="1:25">
      <c r="A24" s="66">
        <v>27</v>
      </c>
      <c r="B24" s="106" t="s">
        <v>58</v>
      </c>
      <c r="C24" s="97">
        <v>35</v>
      </c>
      <c r="D24" s="176">
        <v>7040</v>
      </c>
      <c r="E24" s="105">
        <v>1.2</v>
      </c>
      <c r="F24" s="176">
        <f t="shared" si="10"/>
        <v>8448</v>
      </c>
      <c r="G24" s="73"/>
      <c r="H24" s="176"/>
      <c r="I24" s="70"/>
      <c r="J24" s="70"/>
      <c r="K24" s="70"/>
      <c r="L24" s="73"/>
      <c r="M24" s="67"/>
      <c r="N24" s="73"/>
      <c r="O24" s="176">
        <f>19000+5000</f>
        <v>24000</v>
      </c>
      <c r="P24" s="73"/>
      <c r="Q24" s="172"/>
      <c r="R24" s="176">
        <f t="shared" si="11"/>
        <v>32448</v>
      </c>
      <c r="S24" s="85">
        <f t="shared" si="12"/>
        <v>1135680</v>
      </c>
      <c r="T24" s="85">
        <f t="shared" si="13"/>
        <v>1263040.3412162161</v>
      </c>
      <c r="U24" s="172">
        <f t="shared" si="14"/>
        <v>2271360</v>
      </c>
      <c r="V24" s="85">
        <f t="shared" si="15"/>
        <v>1326237.6399999999</v>
      </c>
      <c r="W24" s="144">
        <f t="shared" si="16"/>
        <v>12810397.981216216</v>
      </c>
      <c r="X24" s="144">
        <f t="shared" si="17"/>
        <v>1817984.0517597971</v>
      </c>
      <c r="Y24" s="144">
        <f t="shared" si="18"/>
        <v>14628382.032976013</v>
      </c>
    </row>
    <row r="25" spans="1:25">
      <c r="A25" s="66">
        <v>29</v>
      </c>
      <c r="B25" s="106" t="s">
        <v>33</v>
      </c>
      <c r="C25" s="97">
        <v>5</v>
      </c>
      <c r="D25" s="176">
        <v>7040</v>
      </c>
      <c r="E25" s="105">
        <v>1.2</v>
      </c>
      <c r="F25" s="176">
        <f t="shared" si="10"/>
        <v>8448</v>
      </c>
      <c r="G25" s="73"/>
      <c r="H25" s="176"/>
      <c r="I25" s="70"/>
      <c r="J25" s="70"/>
      <c r="K25" s="70"/>
      <c r="L25" s="73"/>
      <c r="M25" s="67"/>
      <c r="N25" s="73">
        <v>0.3</v>
      </c>
      <c r="O25" s="176">
        <f>F25*N25+2000</f>
        <v>4534.3999999999996</v>
      </c>
      <c r="P25" s="73">
        <v>0.5</v>
      </c>
      <c r="Q25" s="172">
        <f>SUM(P25*F25)</f>
        <v>4224</v>
      </c>
      <c r="R25" s="176">
        <f t="shared" si="11"/>
        <v>17206.400000000001</v>
      </c>
      <c r="S25" s="85">
        <f t="shared" si="12"/>
        <v>86032</v>
      </c>
      <c r="T25" s="85">
        <f t="shared" si="13"/>
        <v>95680.021340090083</v>
      </c>
      <c r="U25" s="172">
        <f t="shared" si="14"/>
        <v>172064</v>
      </c>
      <c r="V25" s="85">
        <f t="shared" si="15"/>
        <v>100467.45266666666</v>
      </c>
      <c r="W25" s="144">
        <f t="shared" si="16"/>
        <v>970435.47400675679</v>
      </c>
      <c r="X25" s="144">
        <f t="shared" si="17"/>
        <v>137719.07926616553</v>
      </c>
      <c r="Y25" s="144">
        <f t="shared" si="18"/>
        <v>1108154.5532729223</v>
      </c>
    </row>
    <row r="26" spans="1:25">
      <c r="A26" s="90"/>
      <c r="B26" s="72" t="s">
        <v>39</v>
      </c>
      <c r="C26" s="91">
        <f>SUM(C19:C25)</f>
        <v>67</v>
      </c>
      <c r="D26" s="316">
        <f t="shared" ref="D26" si="19">SUM(D19:D25)</f>
        <v>49280</v>
      </c>
      <c r="E26" s="316"/>
      <c r="F26" s="316">
        <f t="shared" ref="F26" si="20">SUM(F19:F25)</f>
        <v>68992</v>
      </c>
      <c r="G26" s="316">
        <f t="shared" ref="G26" si="21">SUM(G19:G25)</f>
        <v>0</v>
      </c>
      <c r="H26" s="316">
        <f t="shared" ref="H26" si="22">SUM(H19:H25)</f>
        <v>0</v>
      </c>
      <c r="I26" s="316">
        <f t="shared" ref="I26" si="23">SUM(I19:I25)</f>
        <v>0</v>
      </c>
      <c r="J26" s="316">
        <f t="shared" ref="J26" si="24">SUM(J19:J25)</f>
        <v>0</v>
      </c>
      <c r="K26" s="316">
        <f t="shared" ref="K26" si="25">SUM(K19:K25)</f>
        <v>0</v>
      </c>
      <c r="L26" s="316">
        <f t="shared" ref="L26" si="26">SUM(L19:L25)</f>
        <v>0</v>
      </c>
      <c r="M26" s="316">
        <f t="shared" ref="M26" si="27">SUM(M19:M25)</f>
        <v>0</v>
      </c>
      <c r="N26" s="316">
        <f t="shared" ref="N26" si="28">SUM(N19:N25)</f>
        <v>0.3</v>
      </c>
      <c r="O26" s="316">
        <f t="shared" ref="O26" si="29">SUM(O19:O25)</f>
        <v>107034.4</v>
      </c>
      <c r="P26" s="316">
        <f t="shared" ref="P26" si="30">SUM(P19:P25)</f>
        <v>0.75</v>
      </c>
      <c r="Q26" s="316">
        <f t="shared" ref="Q26" si="31">SUM(Q19:Q25)</f>
        <v>6336</v>
      </c>
      <c r="R26" s="316">
        <f t="shared" ref="R26" si="32">SUM(R19:R25)</f>
        <v>182362.4</v>
      </c>
      <c r="S26" s="316">
        <f t="shared" ref="S26" si="33">SUM(S19:S25)</f>
        <v>2066216</v>
      </c>
      <c r="T26" s="316">
        <f t="shared" ref="T26" si="34">SUM(T19:T25)</f>
        <v>2297930.8974943692</v>
      </c>
      <c r="U26" s="316">
        <f t="shared" ref="U26" si="35">SUM(U19:U25)</f>
        <v>4132432</v>
      </c>
      <c r="V26" s="316">
        <f t="shared" ref="V26" si="36">SUM(V19:V25)</f>
        <v>2412909.8263333333</v>
      </c>
      <c r="W26" s="316">
        <f t="shared" ref="W26" si="37">SUM(W19:W25)</f>
        <v>23306784.723827705</v>
      </c>
      <c r="X26" s="316">
        <f t="shared" ref="X26" si="38">SUM(X19:X25)</f>
        <v>3307575.8448602781</v>
      </c>
      <c r="Y26" s="316">
        <f t="shared" ref="Y26" si="39">SUM(Y19:Y25)</f>
        <v>26614360.568687979</v>
      </c>
    </row>
    <row r="27" spans="1:25">
      <c r="B27" s="317"/>
      <c r="C27" s="317"/>
      <c r="D27" s="317"/>
      <c r="E27" s="317"/>
      <c r="F27" s="317"/>
      <c r="G27" s="317"/>
      <c r="H27" s="317"/>
      <c r="I27" s="317"/>
      <c r="J27" s="317"/>
      <c r="K27" s="317"/>
      <c r="L27" s="317"/>
      <c r="M27" s="317"/>
      <c r="N27" s="317"/>
      <c r="O27" s="317"/>
      <c r="P27" s="317"/>
      <c r="Q27" s="317"/>
      <c r="R27" s="317"/>
      <c r="S27" s="318"/>
      <c r="T27" s="318"/>
      <c r="U27" s="318"/>
      <c r="V27" s="318"/>
      <c r="W27" s="317"/>
      <c r="X27" s="317"/>
      <c r="Y27" s="317"/>
    </row>
    <row r="28" spans="1:25">
      <c r="B28" s="451" t="s">
        <v>526</v>
      </c>
      <c r="C28" s="450"/>
      <c r="D28" s="450"/>
      <c r="E28" s="450"/>
      <c r="F28" s="450"/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50"/>
      <c r="R28" s="450"/>
      <c r="S28" s="450"/>
      <c r="T28" s="450"/>
      <c r="U28" s="450"/>
      <c r="V28" s="450"/>
      <c r="W28" s="450"/>
      <c r="X28" s="450"/>
      <c r="Y28" s="450"/>
    </row>
    <row r="29" spans="1:25">
      <c r="B29" s="164"/>
    </row>
    <row r="30" spans="1:25">
      <c r="B30" s="2"/>
    </row>
  </sheetData>
  <mergeCells count="26">
    <mergeCell ref="B28:Y28"/>
    <mergeCell ref="X1:Y1"/>
    <mergeCell ref="J6:K6"/>
    <mergeCell ref="U5:U6"/>
    <mergeCell ref="V5:V6"/>
    <mergeCell ref="L6:M6"/>
    <mergeCell ref="N6:O6"/>
    <mergeCell ref="P6:Q6"/>
    <mergeCell ref="S5:S6"/>
    <mergeCell ref="T5:T6"/>
    <mergeCell ref="A9:Y9"/>
    <mergeCell ref="A18:Y18"/>
    <mergeCell ref="A1:R1"/>
    <mergeCell ref="A3:V3"/>
    <mergeCell ref="A5:A7"/>
    <mergeCell ref="B5:B7"/>
    <mergeCell ref="C5:C7"/>
    <mergeCell ref="D5:D7"/>
    <mergeCell ref="E5:E7"/>
    <mergeCell ref="F5:F7"/>
    <mergeCell ref="G5:Q5"/>
    <mergeCell ref="R5:R6"/>
    <mergeCell ref="W5:W6"/>
    <mergeCell ref="X5:X6"/>
    <mergeCell ref="Y5:Y6"/>
    <mergeCell ref="G6:H6"/>
  </mergeCells>
  <pageMargins left="0" right="0" top="0.74803149606299213" bottom="0.74803149606299213" header="0.31496062992125984" footer="0.31496062992125984"/>
  <pageSetup paperSize="9" scale="83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C000"/>
    <pageSetUpPr fitToPage="1"/>
  </sheetPr>
  <dimension ref="A1:Y31"/>
  <sheetViews>
    <sheetView view="pageBreakPreview" zoomScale="85" zoomScaleNormal="85" zoomScaleSheetLayoutView="85" workbookViewId="0">
      <selection activeCell="T29" sqref="T29:W29"/>
    </sheetView>
  </sheetViews>
  <sheetFormatPr defaultRowHeight="12.75"/>
  <cols>
    <col min="1" max="1" width="3.42578125" bestFit="1" customWidth="1"/>
    <col min="2" max="2" width="18" customWidth="1"/>
    <col min="3" max="3" width="4.7109375" customWidth="1"/>
    <col min="4" max="4" width="8.28515625" bestFit="1" customWidth="1"/>
    <col min="5" max="5" width="5.7109375" bestFit="1" customWidth="1"/>
    <col min="6" max="6" width="8.28515625" customWidth="1"/>
    <col min="7" max="7" width="4.7109375" bestFit="1" customWidth="1"/>
    <col min="8" max="8" width="8.28515625" bestFit="1" customWidth="1"/>
    <col min="10" max="10" width="4.7109375" bestFit="1" customWidth="1"/>
    <col min="11" max="11" width="6.7109375" bestFit="1" customWidth="1"/>
    <col min="12" max="12" width="7.42578125" customWidth="1"/>
    <col min="13" max="13" width="10.7109375" customWidth="1"/>
    <col min="14" max="14" width="4.7109375" bestFit="1" customWidth="1"/>
    <col min="15" max="15" width="8.28515625" bestFit="1" customWidth="1"/>
    <col min="16" max="18" width="9.7109375" bestFit="1" customWidth="1"/>
    <col min="19" max="19" width="11.28515625" bestFit="1" customWidth="1"/>
    <col min="20" max="20" width="9.7109375" bestFit="1" customWidth="1"/>
    <col min="21" max="21" width="8.28515625" hidden="1" customWidth="1"/>
    <col min="22" max="22" width="9.7109375" hidden="1" customWidth="1"/>
    <col min="23" max="23" width="10.7109375" bestFit="1" customWidth="1"/>
    <col min="24" max="24" width="9.7109375" bestFit="1" customWidth="1"/>
    <col min="25" max="25" width="10.7109375" bestFit="1" customWidth="1"/>
  </cols>
  <sheetData>
    <row r="1" spans="1:25" ht="75.599999999999994" customHeight="1">
      <c r="A1" s="190"/>
      <c r="B1" s="190"/>
      <c r="C1" s="190"/>
      <c r="D1" s="191"/>
      <c r="E1" s="192"/>
      <c r="F1" s="192"/>
      <c r="G1" s="192"/>
      <c r="H1" s="190"/>
      <c r="I1" s="190"/>
      <c r="J1" s="190"/>
      <c r="K1" s="190"/>
      <c r="L1" s="190"/>
      <c r="M1" s="190"/>
      <c r="N1" s="190"/>
      <c r="O1" s="190"/>
      <c r="P1" s="190"/>
      <c r="Q1" s="191"/>
      <c r="R1" s="190"/>
      <c r="S1" s="190"/>
      <c r="T1" s="190"/>
      <c r="U1" s="190"/>
      <c r="V1" s="190"/>
      <c r="W1" s="190"/>
      <c r="X1" s="399" t="s">
        <v>527</v>
      </c>
      <c r="Y1" s="399"/>
    </row>
    <row r="2" spans="1:25" ht="15">
      <c r="A2" s="190"/>
      <c r="B2" s="190"/>
      <c r="C2" s="190"/>
      <c r="D2" s="191"/>
      <c r="E2" s="192"/>
      <c r="F2" s="192"/>
      <c r="G2" s="192"/>
      <c r="H2" s="190"/>
      <c r="I2" s="190"/>
      <c r="J2" s="190"/>
      <c r="K2" s="190"/>
      <c r="L2" s="190"/>
      <c r="M2" s="190"/>
      <c r="N2" s="190"/>
      <c r="O2" s="190"/>
      <c r="P2" s="190"/>
      <c r="Q2" s="191"/>
      <c r="R2" s="190"/>
      <c r="S2" s="190"/>
      <c r="T2" s="190"/>
      <c r="U2" s="190"/>
      <c r="V2" s="190"/>
      <c r="W2" s="190"/>
      <c r="X2" s="193"/>
      <c r="Y2" s="193"/>
    </row>
    <row r="3" spans="1:25" ht="14.25">
      <c r="A3" s="470" t="s">
        <v>207</v>
      </c>
      <c r="B3" s="471"/>
      <c r="C3" s="471"/>
      <c r="D3" s="471"/>
      <c r="E3" s="471"/>
      <c r="F3" s="471"/>
      <c r="G3" s="471"/>
      <c r="H3" s="471"/>
      <c r="I3" s="471"/>
      <c r="J3" s="471"/>
      <c r="K3" s="471"/>
      <c r="L3" s="471"/>
      <c r="M3" s="471"/>
      <c r="N3" s="471"/>
      <c r="O3" s="471"/>
      <c r="P3" s="471"/>
      <c r="Q3" s="471"/>
      <c r="R3" s="471"/>
      <c r="S3" s="471"/>
      <c r="T3" s="471"/>
      <c r="U3" s="471"/>
      <c r="V3" s="471"/>
      <c r="W3" s="471"/>
      <c r="X3" s="471"/>
      <c r="Y3" s="471"/>
    </row>
    <row r="4" spans="1:25">
      <c r="A4" s="472"/>
      <c r="B4" s="471"/>
      <c r="C4" s="471"/>
      <c r="D4" s="471"/>
      <c r="E4" s="471"/>
      <c r="F4" s="471"/>
      <c r="G4" s="471"/>
      <c r="H4" s="471"/>
      <c r="I4" s="471"/>
      <c r="J4" s="471"/>
      <c r="K4" s="471"/>
      <c r="L4" s="471"/>
      <c r="M4" s="471"/>
      <c r="N4" s="471"/>
      <c r="O4" s="471"/>
      <c r="P4" s="471"/>
      <c r="Q4" s="471"/>
      <c r="R4" s="471"/>
      <c r="S4" s="471"/>
      <c r="T4" s="471"/>
      <c r="U4" s="471"/>
      <c r="V4" s="471"/>
      <c r="W4" s="471"/>
      <c r="X4" s="471"/>
      <c r="Y4" s="471"/>
    </row>
    <row r="5" spans="1:25" ht="15">
      <c r="A5" s="194"/>
      <c r="B5" s="233"/>
      <c r="C5" s="233"/>
      <c r="D5" s="233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5"/>
      <c r="U5" s="195"/>
      <c r="V5" s="195"/>
      <c r="W5" s="234"/>
      <c r="X5" s="194"/>
      <c r="Y5" s="234" t="s">
        <v>201</v>
      </c>
    </row>
    <row r="6" spans="1:25" ht="13.9" customHeight="1">
      <c r="A6" s="477" t="s">
        <v>0</v>
      </c>
      <c r="B6" s="476" t="s">
        <v>20</v>
      </c>
      <c r="C6" s="467" t="s">
        <v>202</v>
      </c>
      <c r="D6" s="467" t="s">
        <v>22</v>
      </c>
      <c r="E6" s="467" t="s">
        <v>203</v>
      </c>
      <c r="F6" s="467" t="s">
        <v>23</v>
      </c>
      <c r="G6" s="475" t="s">
        <v>104</v>
      </c>
      <c r="H6" s="475"/>
      <c r="I6" s="475"/>
      <c r="J6" s="475"/>
      <c r="K6" s="475"/>
      <c r="L6" s="475"/>
      <c r="M6" s="475"/>
      <c r="N6" s="475"/>
      <c r="O6" s="475"/>
      <c r="P6" s="467" t="s">
        <v>28</v>
      </c>
      <c r="Q6" s="467" t="s">
        <v>166</v>
      </c>
      <c r="R6" s="467" t="s">
        <v>105</v>
      </c>
      <c r="S6" s="467" t="s">
        <v>106</v>
      </c>
      <c r="T6" s="467" t="s">
        <v>204</v>
      </c>
      <c r="U6" s="467" t="s">
        <v>109</v>
      </c>
      <c r="V6" s="467"/>
      <c r="W6" s="467" t="s">
        <v>110</v>
      </c>
      <c r="X6" s="467" t="s">
        <v>205</v>
      </c>
      <c r="Y6" s="467" t="s">
        <v>112</v>
      </c>
    </row>
    <row r="7" spans="1:25" ht="109.9" customHeight="1">
      <c r="A7" s="477"/>
      <c r="B7" s="476"/>
      <c r="C7" s="467"/>
      <c r="D7" s="467"/>
      <c r="E7" s="467"/>
      <c r="F7" s="467"/>
      <c r="G7" s="467" t="s">
        <v>85</v>
      </c>
      <c r="H7" s="473"/>
      <c r="I7" s="235" t="s">
        <v>25</v>
      </c>
      <c r="J7" s="474" t="s">
        <v>115</v>
      </c>
      <c r="K7" s="473"/>
      <c r="L7" s="467" t="s">
        <v>114</v>
      </c>
      <c r="M7" s="473"/>
      <c r="N7" s="467" t="s">
        <v>26</v>
      </c>
      <c r="O7" s="473"/>
      <c r="P7" s="467"/>
      <c r="Q7" s="467"/>
      <c r="R7" s="467"/>
      <c r="S7" s="467"/>
      <c r="T7" s="467"/>
      <c r="U7" s="467"/>
      <c r="V7" s="467"/>
      <c r="W7" s="467"/>
      <c r="X7" s="467"/>
      <c r="Y7" s="467"/>
    </row>
    <row r="8" spans="1:25" ht="28.5">
      <c r="A8" s="477"/>
      <c r="B8" s="476"/>
      <c r="C8" s="467"/>
      <c r="D8" s="467"/>
      <c r="E8" s="467"/>
      <c r="F8" s="236" t="s">
        <v>29</v>
      </c>
      <c r="G8" s="236" t="s">
        <v>3</v>
      </c>
      <c r="H8" s="236" t="s">
        <v>29</v>
      </c>
      <c r="I8" s="236" t="s">
        <v>29</v>
      </c>
      <c r="J8" s="236" t="s">
        <v>3</v>
      </c>
      <c r="K8" s="236" t="s">
        <v>29</v>
      </c>
      <c r="L8" s="236" t="s">
        <v>3</v>
      </c>
      <c r="M8" s="236" t="s">
        <v>29</v>
      </c>
      <c r="N8" s="236" t="s">
        <v>3</v>
      </c>
      <c r="O8" s="236" t="s">
        <v>29</v>
      </c>
      <c r="P8" s="236" t="s">
        <v>29</v>
      </c>
      <c r="Q8" s="236" t="s">
        <v>29</v>
      </c>
      <c r="R8" s="236" t="s">
        <v>29</v>
      </c>
      <c r="S8" s="236" t="s">
        <v>29</v>
      </c>
      <c r="T8" s="236" t="s">
        <v>29</v>
      </c>
      <c r="U8" s="237" t="s">
        <v>190</v>
      </c>
      <c r="V8" s="237" t="s">
        <v>29</v>
      </c>
      <c r="W8" s="236" t="s">
        <v>29</v>
      </c>
      <c r="X8" s="236" t="s">
        <v>29</v>
      </c>
      <c r="Y8" s="236" t="s">
        <v>29</v>
      </c>
    </row>
    <row r="9" spans="1:25" s="64" customFormat="1">
      <c r="A9" s="125">
        <v>1</v>
      </c>
      <c r="B9" s="125">
        <v>2</v>
      </c>
      <c r="C9" s="125">
        <v>3</v>
      </c>
      <c r="D9" s="125">
        <v>4</v>
      </c>
      <c r="E9" s="125">
        <v>5</v>
      </c>
      <c r="F9" s="125">
        <v>6</v>
      </c>
      <c r="G9" s="125">
        <v>7</v>
      </c>
      <c r="H9" s="125">
        <v>8</v>
      </c>
      <c r="I9" s="125">
        <v>9</v>
      </c>
      <c r="J9" s="125">
        <v>10</v>
      </c>
      <c r="K9" s="125">
        <v>11</v>
      </c>
      <c r="L9" s="125">
        <v>12</v>
      </c>
      <c r="M9" s="125">
        <v>13</v>
      </c>
      <c r="N9" s="125">
        <v>14</v>
      </c>
      <c r="O9" s="125">
        <v>15</v>
      </c>
      <c r="P9" s="125">
        <v>16</v>
      </c>
      <c r="Q9" s="125">
        <v>17</v>
      </c>
      <c r="R9" s="125">
        <v>18</v>
      </c>
      <c r="S9" s="125">
        <v>19</v>
      </c>
      <c r="T9" s="125">
        <v>20</v>
      </c>
      <c r="U9" s="125">
        <v>21</v>
      </c>
      <c r="V9" s="125">
        <v>22</v>
      </c>
      <c r="W9" s="125">
        <v>23</v>
      </c>
      <c r="X9" s="125">
        <v>24</v>
      </c>
      <c r="Y9" s="125">
        <v>25</v>
      </c>
    </row>
    <row r="10" spans="1:25" s="64" customFormat="1">
      <c r="A10" s="468" t="s">
        <v>354</v>
      </c>
      <c r="B10" s="468"/>
      <c r="C10" s="468"/>
      <c r="D10" s="468"/>
      <c r="E10" s="468"/>
      <c r="F10" s="468"/>
      <c r="G10" s="468"/>
      <c r="H10" s="468"/>
      <c r="I10" s="468"/>
      <c r="J10" s="468"/>
      <c r="K10" s="468"/>
      <c r="L10" s="468"/>
      <c r="M10" s="468"/>
      <c r="N10" s="468"/>
      <c r="O10" s="468"/>
      <c r="P10" s="468"/>
      <c r="Q10" s="468"/>
      <c r="R10" s="468"/>
      <c r="S10" s="468"/>
      <c r="T10" s="468"/>
      <c r="U10" s="468"/>
      <c r="V10" s="468"/>
      <c r="W10" s="468"/>
      <c r="X10" s="468"/>
      <c r="Y10" s="468"/>
    </row>
    <row r="11" spans="1:25" ht="15">
      <c r="A11" s="196">
        <v>1</v>
      </c>
      <c r="B11" s="201" t="s">
        <v>206</v>
      </c>
      <c r="C11" s="197">
        <v>1</v>
      </c>
      <c r="D11" s="198">
        <v>7040</v>
      </c>
      <c r="E11" s="199">
        <v>1</v>
      </c>
      <c r="F11" s="198">
        <f t="shared" ref="F11:F17" si="0">D11*E11</f>
        <v>7040</v>
      </c>
      <c r="G11" s="200"/>
      <c r="H11" s="198">
        <f t="shared" ref="H11:H17" si="1">F11*G11</f>
        <v>0</v>
      </c>
      <c r="I11" s="198"/>
      <c r="J11" s="200"/>
      <c r="K11" s="198">
        <f t="shared" ref="K11:K17" si="2">F11*J11</f>
        <v>0</v>
      </c>
      <c r="L11" s="198"/>
      <c r="M11" s="198"/>
      <c r="N11" s="200"/>
      <c r="O11" s="198">
        <v>3500</v>
      </c>
      <c r="P11" s="198">
        <f t="shared" ref="P11:P17" si="3">+F11+H11+I11+K11+M11+O11</f>
        <v>10540</v>
      </c>
      <c r="Q11" s="198">
        <f t="shared" ref="Q11:Q17" si="4">C11*P11</f>
        <v>10540</v>
      </c>
      <c r="R11" s="198">
        <f t="shared" ref="R11:R17" si="5">(((Q11+(Q11*14.0135/12/12)))*3/3/29.6)*30</f>
        <v>11722.003730292794</v>
      </c>
      <c r="S11" s="198">
        <f t="shared" ref="S11:S17" si="6">Q11*2</f>
        <v>21080</v>
      </c>
      <c r="T11" s="198">
        <f t="shared" ref="T11:T17" si="7">(Q11*14.0135)/12</f>
        <v>12308.524166666668</v>
      </c>
      <c r="U11" s="198"/>
      <c r="V11" s="198"/>
      <c r="W11" s="198">
        <f>(Q11*7)+R11+S11+T11+V11</f>
        <v>118890.52789695947</v>
      </c>
      <c r="X11" s="198">
        <f>((Q11*7)+R11+T11)*0.1725</f>
        <v>16872.316062225505</v>
      </c>
      <c r="Y11" s="198">
        <f t="shared" ref="Y11:Y17" si="8">W11+X11</f>
        <v>135762.84395918497</v>
      </c>
    </row>
    <row r="12" spans="1:25" ht="15">
      <c r="A12" s="196">
        <v>2</v>
      </c>
      <c r="B12" s="201" t="s">
        <v>206</v>
      </c>
      <c r="C12" s="197">
        <v>1</v>
      </c>
      <c r="D12" s="198">
        <v>7040</v>
      </c>
      <c r="E12" s="199">
        <v>1</v>
      </c>
      <c r="F12" s="198">
        <f t="shared" si="0"/>
        <v>7040</v>
      </c>
      <c r="G12" s="200"/>
      <c r="H12" s="198">
        <f t="shared" si="1"/>
        <v>0</v>
      </c>
      <c r="I12" s="198"/>
      <c r="J12" s="200"/>
      <c r="K12" s="198">
        <f t="shared" si="2"/>
        <v>0</v>
      </c>
      <c r="L12" s="198"/>
      <c r="M12" s="198"/>
      <c r="N12" s="200"/>
      <c r="O12" s="198">
        <v>3500</v>
      </c>
      <c r="P12" s="198">
        <f t="shared" si="3"/>
        <v>10540</v>
      </c>
      <c r="Q12" s="198">
        <f t="shared" si="4"/>
        <v>10540</v>
      </c>
      <c r="R12" s="198">
        <f t="shared" si="5"/>
        <v>11722.003730292794</v>
      </c>
      <c r="S12" s="198">
        <f t="shared" si="6"/>
        <v>21080</v>
      </c>
      <c r="T12" s="198">
        <f t="shared" si="7"/>
        <v>12308.524166666668</v>
      </c>
      <c r="U12" s="198"/>
      <c r="V12" s="198"/>
      <c r="W12" s="198">
        <f t="shared" ref="W12:W17" si="9">(Q12*7)+R12+S12+T12+V12</f>
        <v>118890.52789695947</v>
      </c>
      <c r="X12" s="198">
        <f t="shared" ref="X12:X17" si="10">((Q12*7)+R12+T12)*0.1725</f>
        <v>16872.316062225505</v>
      </c>
      <c r="Y12" s="198">
        <f t="shared" si="8"/>
        <v>135762.84395918497</v>
      </c>
    </row>
    <row r="13" spans="1:25" ht="15">
      <c r="A13" s="196">
        <v>3</v>
      </c>
      <c r="B13" s="201" t="s">
        <v>206</v>
      </c>
      <c r="C13" s="197">
        <v>1</v>
      </c>
      <c r="D13" s="198">
        <v>7040</v>
      </c>
      <c r="E13" s="199">
        <v>1</v>
      </c>
      <c r="F13" s="198">
        <f t="shared" si="0"/>
        <v>7040</v>
      </c>
      <c r="G13" s="200"/>
      <c r="H13" s="198">
        <f t="shared" si="1"/>
        <v>0</v>
      </c>
      <c r="I13" s="198"/>
      <c r="J13" s="200"/>
      <c r="K13" s="198">
        <f t="shared" si="2"/>
        <v>0</v>
      </c>
      <c r="L13" s="198"/>
      <c r="M13" s="198"/>
      <c r="N13" s="200"/>
      <c r="O13" s="198">
        <v>3500</v>
      </c>
      <c r="P13" s="198">
        <f t="shared" si="3"/>
        <v>10540</v>
      </c>
      <c r="Q13" s="198">
        <f t="shared" si="4"/>
        <v>10540</v>
      </c>
      <c r="R13" s="198">
        <f t="shared" si="5"/>
        <v>11722.003730292794</v>
      </c>
      <c r="S13" s="198">
        <f t="shared" si="6"/>
        <v>21080</v>
      </c>
      <c r="T13" s="198">
        <f t="shared" si="7"/>
        <v>12308.524166666668</v>
      </c>
      <c r="U13" s="198"/>
      <c r="V13" s="198"/>
      <c r="W13" s="198">
        <f t="shared" si="9"/>
        <v>118890.52789695947</v>
      </c>
      <c r="X13" s="198">
        <f t="shared" si="10"/>
        <v>16872.316062225505</v>
      </c>
      <c r="Y13" s="198">
        <f t="shared" si="8"/>
        <v>135762.84395918497</v>
      </c>
    </row>
    <row r="14" spans="1:25" ht="15">
      <c r="A14" s="196">
        <v>4</v>
      </c>
      <c r="B14" s="201" t="s">
        <v>206</v>
      </c>
      <c r="C14" s="197">
        <v>1</v>
      </c>
      <c r="D14" s="198">
        <v>7040</v>
      </c>
      <c r="E14" s="199">
        <v>1</v>
      </c>
      <c r="F14" s="198">
        <f t="shared" si="0"/>
        <v>7040</v>
      </c>
      <c r="G14" s="200"/>
      <c r="H14" s="198">
        <f t="shared" si="1"/>
        <v>0</v>
      </c>
      <c r="I14" s="198"/>
      <c r="J14" s="200"/>
      <c r="K14" s="198">
        <f t="shared" si="2"/>
        <v>0</v>
      </c>
      <c r="L14" s="198"/>
      <c r="M14" s="198"/>
      <c r="N14" s="200"/>
      <c r="O14" s="198">
        <v>3500</v>
      </c>
      <c r="P14" s="198">
        <f t="shared" si="3"/>
        <v>10540</v>
      </c>
      <c r="Q14" s="198">
        <f t="shared" si="4"/>
        <v>10540</v>
      </c>
      <c r="R14" s="198">
        <f t="shared" si="5"/>
        <v>11722.003730292794</v>
      </c>
      <c r="S14" s="198">
        <f t="shared" si="6"/>
        <v>21080</v>
      </c>
      <c r="T14" s="198">
        <f t="shared" si="7"/>
        <v>12308.524166666668</v>
      </c>
      <c r="U14" s="198"/>
      <c r="V14" s="198"/>
      <c r="W14" s="198">
        <f t="shared" si="9"/>
        <v>118890.52789695947</v>
      </c>
      <c r="X14" s="198">
        <f t="shared" si="10"/>
        <v>16872.316062225505</v>
      </c>
      <c r="Y14" s="198">
        <f t="shared" si="8"/>
        <v>135762.84395918497</v>
      </c>
    </row>
    <row r="15" spans="1:25" ht="15">
      <c r="A15" s="196">
        <v>5</v>
      </c>
      <c r="B15" s="201" t="s">
        <v>206</v>
      </c>
      <c r="C15" s="197">
        <v>1</v>
      </c>
      <c r="D15" s="198">
        <v>7040</v>
      </c>
      <c r="E15" s="199">
        <v>1</v>
      </c>
      <c r="F15" s="198">
        <f t="shared" si="0"/>
        <v>7040</v>
      </c>
      <c r="G15" s="200"/>
      <c r="H15" s="198">
        <f t="shared" si="1"/>
        <v>0</v>
      </c>
      <c r="I15" s="198"/>
      <c r="J15" s="200"/>
      <c r="K15" s="198">
        <f t="shared" si="2"/>
        <v>0</v>
      </c>
      <c r="L15" s="198"/>
      <c r="M15" s="198"/>
      <c r="N15" s="200"/>
      <c r="O15" s="198">
        <v>3500</v>
      </c>
      <c r="P15" s="198">
        <f t="shared" si="3"/>
        <v>10540</v>
      </c>
      <c r="Q15" s="198">
        <f t="shared" si="4"/>
        <v>10540</v>
      </c>
      <c r="R15" s="198">
        <f t="shared" si="5"/>
        <v>11722.003730292794</v>
      </c>
      <c r="S15" s="198">
        <f t="shared" si="6"/>
        <v>21080</v>
      </c>
      <c r="T15" s="198">
        <f t="shared" si="7"/>
        <v>12308.524166666668</v>
      </c>
      <c r="U15" s="198"/>
      <c r="V15" s="198"/>
      <c r="W15" s="198">
        <f t="shared" si="9"/>
        <v>118890.52789695947</v>
      </c>
      <c r="X15" s="198">
        <f t="shared" si="10"/>
        <v>16872.316062225505</v>
      </c>
      <c r="Y15" s="198">
        <f t="shared" si="8"/>
        <v>135762.84395918497</v>
      </c>
    </row>
    <row r="16" spans="1:25" ht="15">
      <c r="A16" s="196">
        <v>6</v>
      </c>
      <c r="B16" s="201" t="s">
        <v>206</v>
      </c>
      <c r="C16" s="197">
        <v>1</v>
      </c>
      <c r="D16" s="198">
        <v>7040</v>
      </c>
      <c r="E16" s="199">
        <v>1</v>
      </c>
      <c r="F16" s="198">
        <f t="shared" si="0"/>
        <v>7040</v>
      </c>
      <c r="G16" s="200"/>
      <c r="H16" s="198">
        <f t="shared" si="1"/>
        <v>0</v>
      </c>
      <c r="I16" s="198"/>
      <c r="J16" s="200"/>
      <c r="K16" s="198">
        <f t="shared" si="2"/>
        <v>0</v>
      </c>
      <c r="L16" s="198"/>
      <c r="M16" s="198"/>
      <c r="N16" s="200"/>
      <c r="O16" s="198">
        <v>3500</v>
      </c>
      <c r="P16" s="198">
        <f t="shared" si="3"/>
        <v>10540</v>
      </c>
      <c r="Q16" s="198">
        <f t="shared" si="4"/>
        <v>10540</v>
      </c>
      <c r="R16" s="198">
        <f t="shared" si="5"/>
        <v>11722.003730292794</v>
      </c>
      <c r="S16" s="198">
        <f t="shared" si="6"/>
        <v>21080</v>
      </c>
      <c r="T16" s="198">
        <f t="shared" si="7"/>
        <v>12308.524166666668</v>
      </c>
      <c r="U16" s="198"/>
      <c r="V16" s="198"/>
      <c r="W16" s="198">
        <f t="shared" si="9"/>
        <v>118890.52789695947</v>
      </c>
      <c r="X16" s="198">
        <f t="shared" si="10"/>
        <v>16872.316062225505</v>
      </c>
      <c r="Y16" s="198">
        <f t="shared" si="8"/>
        <v>135762.84395918497</v>
      </c>
    </row>
    <row r="17" spans="1:25" ht="15">
      <c r="A17" s="196">
        <v>7</v>
      </c>
      <c r="B17" s="202" t="s">
        <v>66</v>
      </c>
      <c r="C17" s="197">
        <v>1</v>
      </c>
      <c r="D17" s="198">
        <v>7040</v>
      </c>
      <c r="E17" s="199">
        <v>1</v>
      </c>
      <c r="F17" s="198">
        <f t="shared" si="0"/>
        <v>7040</v>
      </c>
      <c r="G17" s="200"/>
      <c r="H17" s="198">
        <f t="shared" si="1"/>
        <v>0</v>
      </c>
      <c r="I17" s="198"/>
      <c r="J17" s="200">
        <v>0.25</v>
      </c>
      <c r="K17" s="198">
        <f t="shared" si="2"/>
        <v>1760</v>
      </c>
      <c r="L17" s="198"/>
      <c r="M17" s="198"/>
      <c r="N17" s="200"/>
      <c r="O17" s="198">
        <v>3500</v>
      </c>
      <c r="P17" s="198">
        <f t="shared" si="3"/>
        <v>12300</v>
      </c>
      <c r="Q17" s="198">
        <f t="shared" si="4"/>
        <v>12300</v>
      </c>
      <c r="R17" s="198">
        <f t="shared" si="5"/>
        <v>13679.378167229728</v>
      </c>
      <c r="S17" s="198">
        <f t="shared" si="6"/>
        <v>24600</v>
      </c>
      <c r="T17" s="198">
        <f t="shared" si="7"/>
        <v>14363.837500000001</v>
      </c>
      <c r="U17" s="198"/>
      <c r="V17" s="198"/>
      <c r="W17" s="198">
        <f t="shared" si="9"/>
        <v>138743.21566722973</v>
      </c>
      <c r="X17" s="198">
        <f t="shared" si="10"/>
        <v>19689.704702597126</v>
      </c>
      <c r="Y17" s="198">
        <f t="shared" si="8"/>
        <v>158432.92036982684</v>
      </c>
    </row>
    <row r="18" spans="1:25" ht="14.25">
      <c r="A18" s="203"/>
      <c r="B18" s="206" t="s">
        <v>31</v>
      </c>
      <c r="C18" s="204">
        <f>SUM(C11:C17)</f>
        <v>7</v>
      </c>
      <c r="D18" s="205">
        <f>SUM(D11:D17)</f>
        <v>49280</v>
      </c>
      <c r="E18" s="205"/>
      <c r="F18" s="205">
        <f>SUM(F11:F17)</f>
        <v>49280</v>
      </c>
      <c r="G18" s="205"/>
      <c r="H18" s="205">
        <f>SUM(H11:H17)</f>
        <v>0</v>
      </c>
      <c r="I18" s="205">
        <f>SUM(I11:I17)</f>
        <v>0</v>
      </c>
      <c r="J18" s="205"/>
      <c r="K18" s="205">
        <f>SUM(K11:K17)</f>
        <v>1760</v>
      </c>
      <c r="L18" s="205"/>
      <c r="M18" s="205"/>
      <c r="N18" s="205"/>
      <c r="O18" s="205">
        <f t="shared" ref="O18:Y18" si="11">SUM(O11:O17)</f>
        <v>24500</v>
      </c>
      <c r="P18" s="205">
        <f t="shared" si="11"/>
        <v>75540</v>
      </c>
      <c r="Q18" s="205">
        <f t="shared" si="11"/>
        <v>75540</v>
      </c>
      <c r="R18" s="205">
        <f t="shared" si="11"/>
        <v>84011.400548986494</v>
      </c>
      <c r="S18" s="205">
        <f t="shared" si="11"/>
        <v>151080</v>
      </c>
      <c r="T18" s="205">
        <f t="shared" si="11"/>
        <v>88214.982500000013</v>
      </c>
      <c r="U18" s="205">
        <f t="shared" si="11"/>
        <v>0</v>
      </c>
      <c r="V18" s="205">
        <f t="shared" si="11"/>
        <v>0</v>
      </c>
      <c r="W18" s="205">
        <f t="shared" si="11"/>
        <v>852086.38304898655</v>
      </c>
      <c r="X18" s="205">
        <f t="shared" si="11"/>
        <v>120923.60107595017</v>
      </c>
      <c r="Y18" s="205">
        <f t="shared" si="11"/>
        <v>973009.98412493663</v>
      </c>
    </row>
    <row r="19" spans="1:25" s="64" customFormat="1">
      <c r="A19" s="469" t="s">
        <v>355</v>
      </c>
      <c r="B19" s="469"/>
      <c r="C19" s="469"/>
      <c r="D19" s="469"/>
      <c r="E19" s="469"/>
      <c r="F19" s="469"/>
      <c r="G19" s="469"/>
      <c r="H19" s="469"/>
      <c r="I19" s="469"/>
      <c r="J19" s="469"/>
      <c r="K19" s="469"/>
      <c r="L19" s="469"/>
      <c r="M19" s="469"/>
      <c r="N19" s="469"/>
      <c r="O19" s="469"/>
      <c r="P19" s="469"/>
      <c r="Q19" s="469"/>
      <c r="R19" s="469"/>
      <c r="S19" s="469"/>
      <c r="T19" s="469"/>
      <c r="U19" s="469"/>
      <c r="V19" s="469"/>
      <c r="W19" s="469"/>
      <c r="X19" s="469"/>
      <c r="Y19" s="469"/>
    </row>
    <row r="20" spans="1:25" ht="15">
      <c r="A20" s="196">
        <v>1</v>
      </c>
      <c r="B20" s="201" t="s">
        <v>206</v>
      </c>
      <c r="C20" s="197">
        <v>1</v>
      </c>
      <c r="D20" s="198">
        <v>7040</v>
      </c>
      <c r="E20" s="199">
        <v>1.2</v>
      </c>
      <c r="F20" s="198">
        <f t="shared" ref="F20:F26" si="12">D20*E20</f>
        <v>8448</v>
      </c>
      <c r="G20" s="200"/>
      <c r="H20" s="198">
        <f t="shared" ref="H20:H26" si="13">F20*G20</f>
        <v>0</v>
      </c>
      <c r="I20" s="198"/>
      <c r="J20" s="200"/>
      <c r="K20" s="198">
        <f t="shared" ref="K20:K26" si="14">F20*J20</f>
        <v>0</v>
      </c>
      <c r="L20" s="198"/>
      <c r="M20" s="198"/>
      <c r="N20" s="200"/>
      <c r="O20" s="198">
        <v>3500</v>
      </c>
      <c r="P20" s="198">
        <f t="shared" ref="P20:P26" si="15">+F20+H20+I20+K20+M20+O20</f>
        <v>11948</v>
      </c>
      <c r="Q20" s="198">
        <f t="shared" ref="Q20:Q26" si="16">C20*P20</f>
        <v>11948</v>
      </c>
      <c r="R20" s="198">
        <f t="shared" ref="R20:R26" si="17">(((Q20+(Q20*14.0135/12/12)))*3/3/29.6)*30</f>
        <v>13287.903279842341</v>
      </c>
      <c r="S20" s="198">
        <f t="shared" ref="S20:S26" si="18">Q20*2</f>
        <v>23896</v>
      </c>
      <c r="T20" s="198">
        <f t="shared" ref="T20:T26" si="19">(Q20*14.0135)/12</f>
        <v>13952.774833333335</v>
      </c>
      <c r="U20" s="198"/>
      <c r="V20" s="198"/>
      <c r="W20" s="198">
        <f t="shared" ref="W20:W26" si="20">(Q20*7)+R20+S20+T20+V20</f>
        <v>134772.67811317567</v>
      </c>
      <c r="X20" s="198">
        <f t="shared" ref="X20:X26" si="21">((Q20*7)+R20+T20)*0.1725</f>
        <v>19126.2269745228</v>
      </c>
      <c r="Y20" s="198">
        <f t="shared" ref="Y20:Y26" si="22">W20+X20</f>
        <v>153898.90508769848</v>
      </c>
    </row>
    <row r="21" spans="1:25" ht="15">
      <c r="A21" s="196">
        <v>2</v>
      </c>
      <c r="B21" s="201" t="s">
        <v>206</v>
      </c>
      <c r="C21" s="197">
        <v>1</v>
      </c>
      <c r="D21" s="198">
        <v>7040</v>
      </c>
      <c r="E21" s="199">
        <v>1.2</v>
      </c>
      <c r="F21" s="198">
        <f t="shared" si="12"/>
        <v>8448</v>
      </c>
      <c r="G21" s="200"/>
      <c r="H21" s="198">
        <f t="shared" si="13"/>
        <v>0</v>
      </c>
      <c r="I21" s="198"/>
      <c r="J21" s="200"/>
      <c r="K21" s="198">
        <f t="shared" si="14"/>
        <v>0</v>
      </c>
      <c r="L21" s="198"/>
      <c r="M21" s="198"/>
      <c r="N21" s="200"/>
      <c r="O21" s="198">
        <v>3500</v>
      </c>
      <c r="P21" s="198">
        <f t="shared" si="15"/>
        <v>11948</v>
      </c>
      <c r="Q21" s="198">
        <f t="shared" si="16"/>
        <v>11948</v>
      </c>
      <c r="R21" s="198">
        <f t="shared" si="17"/>
        <v>13287.903279842341</v>
      </c>
      <c r="S21" s="198">
        <f t="shared" si="18"/>
        <v>23896</v>
      </c>
      <c r="T21" s="198">
        <f t="shared" si="19"/>
        <v>13952.774833333335</v>
      </c>
      <c r="U21" s="198"/>
      <c r="V21" s="198"/>
      <c r="W21" s="198">
        <f t="shared" si="20"/>
        <v>134772.67811317567</v>
      </c>
      <c r="X21" s="198">
        <f t="shared" si="21"/>
        <v>19126.2269745228</v>
      </c>
      <c r="Y21" s="198">
        <f t="shared" si="22"/>
        <v>153898.90508769848</v>
      </c>
    </row>
    <row r="22" spans="1:25" ht="15">
      <c r="A22" s="196">
        <v>3</v>
      </c>
      <c r="B22" s="201" t="s">
        <v>206</v>
      </c>
      <c r="C22" s="197">
        <v>1</v>
      </c>
      <c r="D22" s="198">
        <v>7040</v>
      </c>
      <c r="E22" s="199">
        <v>1.2</v>
      </c>
      <c r="F22" s="198">
        <f t="shared" si="12"/>
        <v>8448</v>
      </c>
      <c r="G22" s="200"/>
      <c r="H22" s="198">
        <f t="shared" si="13"/>
        <v>0</v>
      </c>
      <c r="I22" s="198"/>
      <c r="J22" s="200"/>
      <c r="K22" s="198">
        <f t="shared" si="14"/>
        <v>0</v>
      </c>
      <c r="L22" s="198"/>
      <c r="M22" s="198"/>
      <c r="N22" s="200"/>
      <c r="O22" s="198">
        <v>3500</v>
      </c>
      <c r="P22" s="198">
        <f t="shared" si="15"/>
        <v>11948</v>
      </c>
      <c r="Q22" s="198">
        <f t="shared" si="16"/>
        <v>11948</v>
      </c>
      <c r="R22" s="198">
        <f t="shared" si="17"/>
        <v>13287.903279842341</v>
      </c>
      <c r="S22" s="198">
        <f t="shared" si="18"/>
        <v>23896</v>
      </c>
      <c r="T22" s="198">
        <f t="shared" si="19"/>
        <v>13952.774833333335</v>
      </c>
      <c r="U22" s="198"/>
      <c r="V22" s="198"/>
      <c r="W22" s="198">
        <f t="shared" si="20"/>
        <v>134772.67811317567</v>
      </c>
      <c r="X22" s="198">
        <f t="shared" si="21"/>
        <v>19126.2269745228</v>
      </c>
      <c r="Y22" s="198">
        <f t="shared" si="22"/>
        <v>153898.90508769848</v>
      </c>
    </row>
    <row r="23" spans="1:25" ht="15">
      <c r="A23" s="196">
        <v>4</v>
      </c>
      <c r="B23" s="201" t="s">
        <v>206</v>
      </c>
      <c r="C23" s="197">
        <v>1</v>
      </c>
      <c r="D23" s="198">
        <v>7040</v>
      </c>
      <c r="E23" s="199">
        <v>1.2</v>
      </c>
      <c r="F23" s="198">
        <f t="shared" si="12"/>
        <v>8448</v>
      </c>
      <c r="G23" s="200"/>
      <c r="H23" s="198">
        <f t="shared" si="13"/>
        <v>0</v>
      </c>
      <c r="I23" s="198"/>
      <c r="J23" s="200"/>
      <c r="K23" s="198">
        <f t="shared" si="14"/>
        <v>0</v>
      </c>
      <c r="L23" s="198"/>
      <c r="M23" s="198"/>
      <c r="N23" s="200"/>
      <c r="O23" s="198">
        <v>3500</v>
      </c>
      <c r="P23" s="198">
        <f t="shared" si="15"/>
        <v>11948</v>
      </c>
      <c r="Q23" s="198">
        <f t="shared" si="16"/>
        <v>11948</v>
      </c>
      <c r="R23" s="198">
        <f t="shared" si="17"/>
        <v>13287.903279842341</v>
      </c>
      <c r="S23" s="198">
        <f t="shared" si="18"/>
        <v>23896</v>
      </c>
      <c r="T23" s="198">
        <f t="shared" si="19"/>
        <v>13952.774833333335</v>
      </c>
      <c r="U23" s="198"/>
      <c r="V23" s="198"/>
      <c r="W23" s="198">
        <f t="shared" si="20"/>
        <v>134772.67811317567</v>
      </c>
      <c r="X23" s="198">
        <f t="shared" si="21"/>
        <v>19126.2269745228</v>
      </c>
      <c r="Y23" s="198">
        <f t="shared" si="22"/>
        <v>153898.90508769848</v>
      </c>
    </row>
    <row r="24" spans="1:25" ht="15">
      <c r="A24" s="196">
        <v>5</v>
      </c>
      <c r="B24" s="201" t="s">
        <v>206</v>
      </c>
      <c r="C24" s="197">
        <v>1</v>
      </c>
      <c r="D24" s="198">
        <v>7040</v>
      </c>
      <c r="E24" s="199">
        <v>1.2</v>
      </c>
      <c r="F24" s="198">
        <f t="shared" si="12"/>
        <v>8448</v>
      </c>
      <c r="G24" s="200"/>
      <c r="H24" s="198">
        <f t="shared" si="13"/>
        <v>0</v>
      </c>
      <c r="I24" s="198"/>
      <c r="J24" s="200"/>
      <c r="K24" s="198">
        <f t="shared" si="14"/>
        <v>0</v>
      </c>
      <c r="L24" s="198"/>
      <c r="M24" s="198"/>
      <c r="N24" s="200"/>
      <c r="O24" s="198">
        <v>3500</v>
      </c>
      <c r="P24" s="198">
        <f t="shared" si="15"/>
        <v>11948</v>
      </c>
      <c r="Q24" s="198">
        <f t="shared" si="16"/>
        <v>11948</v>
      </c>
      <c r="R24" s="198">
        <f t="shared" si="17"/>
        <v>13287.903279842341</v>
      </c>
      <c r="S24" s="198">
        <f t="shared" si="18"/>
        <v>23896</v>
      </c>
      <c r="T24" s="198">
        <f t="shared" si="19"/>
        <v>13952.774833333335</v>
      </c>
      <c r="U24" s="198"/>
      <c r="V24" s="198"/>
      <c r="W24" s="198">
        <f t="shared" si="20"/>
        <v>134772.67811317567</v>
      </c>
      <c r="X24" s="198">
        <f t="shared" si="21"/>
        <v>19126.2269745228</v>
      </c>
      <c r="Y24" s="198">
        <f t="shared" si="22"/>
        <v>153898.90508769848</v>
      </c>
    </row>
    <row r="25" spans="1:25" ht="15">
      <c r="A25" s="196">
        <v>6</v>
      </c>
      <c r="B25" s="201" t="s">
        <v>206</v>
      </c>
      <c r="C25" s="197">
        <v>1</v>
      </c>
      <c r="D25" s="198">
        <v>7040</v>
      </c>
      <c r="E25" s="199">
        <v>1.2</v>
      </c>
      <c r="F25" s="198">
        <f t="shared" si="12"/>
        <v>8448</v>
      </c>
      <c r="G25" s="200"/>
      <c r="H25" s="198">
        <f t="shared" si="13"/>
        <v>0</v>
      </c>
      <c r="I25" s="198"/>
      <c r="J25" s="200"/>
      <c r="K25" s="198">
        <f t="shared" si="14"/>
        <v>0</v>
      </c>
      <c r="L25" s="198"/>
      <c r="M25" s="198"/>
      <c r="N25" s="200"/>
      <c r="O25" s="198">
        <v>3500</v>
      </c>
      <c r="P25" s="198">
        <f t="shared" si="15"/>
        <v>11948</v>
      </c>
      <c r="Q25" s="198">
        <f t="shared" si="16"/>
        <v>11948</v>
      </c>
      <c r="R25" s="198">
        <f t="shared" si="17"/>
        <v>13287.903279842341</v>
      </c>
      <c r="S25" s="198">
        <f t="shared" si="18"/>
        <v>23896</v>
      </c>
      <c r="T25" s="198">
        <f t="shared" si="19"/>
        <v>13952.774833333335</v>
      </c>
      <c r="U25" s="198"/>
      <c r="V25" s="198"/>
      <c r="W25" s="198">
        <f t="shared" si="20"/>
        <v>134772.67811317567</v>
      </c>
      <c r="X25" s="198">
        <f t="shared" si="21"/>
        <v>19126.2269745228</v>
      </c>
      <c r="Y25" s="198">
        <f t="shared" si="22"/>
        <v>153898.90508769848</v>
      </c>
    </row>
    <row r="26" spans="1:25" ht="15">
      <c r="A26" s="196">
        <v>7</v>
      </c>
      <c r="B26" s="202" t="s">
        <v>66</v>
      </c>
      <c r="C26" s="197">
        <v>1</v>
      </c>
      <c r="D26" s="198">
        <v>7040</v>
      </c>
      <c r="E26" s="199">
        <v>1.2</v>
      </c>
      <c r="F26" s="198">
        <f t="shared" si="12"/>
        <v>8448</v>
      </c>
      <c r="G26" s="200"/>
      <c r="H26" s="198">
        <f t="shared" si="13"/>
        <v>0</v>
      </c>
      <c r="I26" s="198"/>
      <c r="J26" s="200">
        <v>0.25</v>
      </c>
      <c r="K26" s="198">
        <f t="shared" si="14"/>
        <v>2112</v>
      </c>
      <c r="L26" s="198"/>
      <c r="M26" s="198"/>
      <c r="N26" s="200"/>
      <c r="O26" s="198">
        <v>3500</v>
      </c>
      <c r="P26" s="198">
        <f t="shared" si="15"/>
        <v>14060</v>
      </c>
      <c r="Q26" s="198">
        <f t="shared" si="16"/>
        <v>14060</v>
      </c>
      <c r="R26" s="198">
        <f t="shared" si="17"/>
        <v>15636.752604166666</v>
      </c>
      <c r="S26" s="198">
        <f t="shared" si="18"/>
        <v>28120</v>
      </c>
      <c r="T26" s="198">
        <f t="shared" si="19"/>
        <v>16419.150833333333</v>
      </c>
      <c r="U26" s="198"/>
      <c r="V26" s="198"/>
      <c r="W26" s="198">
        <f t="shared" si="20"/>
        <v>158595.9034375</v>
      </c>
      <c r="X26" s="198">
        <f t="shared" si="21"/>
        <v>22507.09334296875</v>
      </c>
      <c r="Y26" s="198">
        <f t="shared" si="22"/>
        <v>181102.99678046876</v>
      </c>
    </row>
    <row r="27" spans="1:25" ht="14.25">
      <c r="A27" s="203"/>
      <c r="B27" s="206" t="s">
        <v>31</v>
      </c>
      <c r="C27" s="204">
        <f>SUM(C20:C26)</f>
        <v>7</v>
      </c>
      <c r="D27" s="205">
        <f>SUM(D20:D26)</f>
        <v>49280</v>
      </c>
      <c r="E27" s="205"/>
      <c r="F27" s="205">
        <f>SUM(F20:F26)</f>
        <v>59136</v>
      </c>
      <c r="G27" s="205"/>
      <c r="H27" s="205">
        <f>SUM(H20:H26)</f>
        <v>0</v>
      </c>
      <c r="I27" s="205">
        <f>SUM(I20:I26)</f>
        <v>0</v>
      </c>
      <c r="J27" s="205"/>
      <c r="K27" s="205">
        <f>SUM(K20:K26)</f>
        <v>2112</v>
      </c>
      <c r="L27" s="205"/>
      <c r="M27" s="205"/>
      <c r="N27" s="205"/>
      <c r="O27" s="205">
        <f t="shared" ref="O27:Y27" si="23">SUM(O20:O26)</f>
        <v>24500</v>
      </c>
      <c r="P27" s="205">
        <f t="shared" si="23"/>
        <v>85748</v>
      </c>
      <c r="Q27" s="205">
        <f t="shared" si="23"/>
        <v>85748</v>
      </c>
      <c r="R27" s="205">
        <f t="shared" si="23"/>
        <v>95364.172283220716</v>
      </c>
      <c r="S27" s="205">
        <f t="shared" si="23"/>
        <v>171496</v>
      </c>
      <c r="T27" s="205">
        <f t="shared" si="23"/>
        <v>100135.79983333334</v>
      </c>
      <c r="U27" s="205">
        <f t="shared" si="23"/>
        <v>0</v>
      </c>
      <c r="V27" s="205">
        <f t="shared" si="23"/>
        <v>0</v>
      </c>
      <c r="W27" s="205">
        <f t="shared" si="23"/>
        <v>967231.97211655404</v>
      </c>
      <c r="X27" s="205">
        <f t="shared" si="23"/>
        <v>137264.45519010554</v>
      </c>
      <c r="Y27" s="205">
        <f t="shared" si="23"/>
        <v>1104496.4273066598</v>
      </c>
    </row>
    <row r="31" spans="1:25">
      <c r="B31" s="451" t="s">
        <v>526</v>
      </c>
      <c r="C31" s="450"/>
      <c r="D31" s="450"/>
      <c r="E31" s="450"/>
      <c r="F31" s="450"/>
      <c r="G31" s="450"/>
      <c r="H31" s="450"/>
      <c r="I31" s="450"/>
      <c r="J31" s="450"/>
      <c r="K31" s="450"/>
      <c r="L31" s="450"/>
      <c r="M31" s="450"/>
      <c r="N31" s="450"/>
      <c r="O31" s="450"/>
      <c r="P31" s="450"/>
      <c r="Q31" s="450"/>
      <c r="R31" s="450"/>
      <c r="S31" s="450"/>
      <c r="T31" s="450"/>
      <c r="U31" s="450"/>
      <c r="V31" s="450"/>
      <c r="W31" s="450"/>
      <c r="X31" s="450"/>
      <c r="Y31" s="450"/>
    </row>
  </sheetData>
  <mergeCells count="26">
    <mergeCell ref="B31:Y31"/>
    <mergeCell ref="X1:Y1"/>
    <mergeCell ref="A3:Y3"/>
    <mergeCell ref="A4:Y4"/>
    <mergeCell ref="G7:H7"/>
    <mergeCell ref="J7:K7"/>
    <mergeCell ref="L7:M7"/>
    <mergeCell ref="N7:O7"/>
    <mergeCell ref="G6:O6"/>
    <mergeCell ref="P6:P7"/>
    <mergeCell ref="Q6:Q7"/>
    <mergeCell ref="R6:R7"/>
    <mergeCell ref="B6:B8"/>
    <mergeCell ref="A6:A8"/>
    <mergeCell ref="Y6:Y7"/>
    <mergeCell ref="F6:F7"/>
    <mergeCell ref="C6:C8"/>
    <mergeCell ref="D6:D8"/>
    <mergeCell ref="A10:Y10"/>
    <mergeCell ref="A19:Y19"/>
    <mergeCell ref="E6:E8"/>
    <mergeCell ref="X6:X7"/>
    <mergeCell ref="T6:T7"/>
    <mergeCell ref="U6:V7"/>
    <mergeCell ref="W6:W7"/>
    <mergeCell ref="S6:S7"/>
  </mergeCells>
  <pageMargins left="0" right="0" top="0.74803149606299213" bottom="0.74803149606299213" header="0.31496062992125984" footer="0.31496062992125984"/>
  <pageSetup paperSize="9" scale="75" fitToHeight="0" orientation="landscape" verticalDpi="36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C000"/>
    <pageSetUpPr fitToPage="1"/>
  </sheetPr>
  <dimension ref="A1:AB39"/>
  <sheetViews>
    <sheetView view="pageBreakPreview" topLeftCell="E7" zoomScale="90" zoomScaleNormal="85" zoomScaleSheetLayoutView="90" workbookViewId="0">
      <selection activeCell="W37" sqref="W37"/>
    </sheetView>
  </sheetViews>
  <sheetFormatPr defaultColWidth="9.140625" defaultRowHeight="12.75"/>
  <cols>
    <col min="1" max="1" width="3.7109375" style="64" customWidth="1"/>
    <col min="2" max="2" width="24.7109375" style="64" customWidth="1"/>
    <col min="3" max="3" width="3.7109375" style="64" customWidth="1"/>
    <col min="4" max="4" width="6.7109375" style="64" customWidth="1"/>
    <col min="5" max="5" width="5.85546875" style="64" customWidth="1"/>
    <col min="6" max="6" width="8.140625" style="64" customWidth="1"/>
    <col min="7" max="7" width="5.140625" style="64" customWidth="1"/>
    <col min="8" max="8" width="8.28515625" style="64" customWidth="1"/>
    <col min="9" max="9" width="6.140625" style="64" customWidth="1"/>
    <col min="10" max="10" width="9.140625" style="64" hidden="1" customWidth="1"/>
    <col min="11" max="11" width="0.7109375" style="64" hidden="1" customWidth="1"/>
    <col min="12" max="12" width="6.85546875" style="64" customWidth="1"/>
    <col min="13" max="13" width="7.42578125" style="64" customWidth="1"/>
    <col min="14" max="14" width="4.5703125" style="64" bestFit="1" customWidth="1"/>
    <col min="15" max="15" width="7.7109375" style="64" customWidth="1"/>
    <col min="16" max="16" width="3" style="64" customWidth="1"/>
    <col min="17" max="17" width="6.28515625" style="64" bestFit="1" customWidth="1"/>
    <col min="18" max="18" width="8.85546875" style="64" customWidth="1"/>
    <col min="19" max="23" width="9.5703125" style="64" customWidth="1"/>
    <col min="24" max="24" width="10.28515625" style="64" customWidth="1"/>
    <col min="25" max="25" width="9.5703125" style="64" customWidth="1"/>
    <col min="26" max="26" width="10.28515625" style="64" customWidth="1"/>
    <col min="27" max="16384" width="9.140625" style="64"/>
  </cols>
  <sheetData>
    <row r="1" spans="1:28" ht="67.900000000000006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77"/>
      <c r="P1" s="177"/>
      <c r="Q1" s="177"/>
      <c r="R1" s="177"/>
      <c r="S1" s="177"/>
      <c r="T1" s="3"/>
      <c r="U1" s="3"/>
      <c r="V1" s="3"/>
      <c r="W1" s="3"/>
      <c r="X1" s="3"/>
      <c r="Y1" s="399" t="s">
        <v>528</v>
      </c>
      <c r="Z1" s="399"/>
      <c r="AA1" s="177"/>
    </row>
    <row r="2" spans="1:28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3"/>
    </row>
    <row r="3" spans="1:28" ht="20.25" customHeight="1">
      <c r="A3" s="478" t="s">
        <v>191</v>
      </c>
      <c r="B3" s="478"/>
      <c r="C3" s="478"/>
      <c r="D3" s="478"/>
      <c r="E3" s="478"/>
      <c r="F3" s="478"/>
      <c r="G3" s="478"/>
      <c r="H3" s="478"/>
      <c r="I3" s="478"/>
      <c r="J3" s="478"/>
      <c r="K3" s="478"/>
      <c r="L3" s="478"/>
      <c r="M3" s="478"/>
      <c r="N3" s="478"/>
      <c r="O3" s="478"/>
      <c r="P3" s="478"/>
      <c r="Q3" s="478"/>
      <c r="R3" s="478"/>
      <c r="S3" s="478"/>
      <c r="T3" s="478"/>
      <c r="U3" s="478"/>
      <c r="V3" s="478"/>
      <c r="W3" s="478"/>
      <c r="X3" s="478"/>
      <c r="Y3" s="478"/>
      <c r="Z3" s="478"/>
    </row>
    <row r="4" spans="1:28" ht="12" customHeight="1">
      <c r="A4" s="178" t="s">
        <v>192</v>
      </c>
      <c r="B4" s="22"/>
      <c r="C4" s="22"/>
      <c r="D4" s="22"/>
      <c r="E4" s="479" t="s">
        <v>193</v>
      </c>
      <c r="F4" s="479"/>
      <c r="G4" s="479"/>
      <c r="H4" s="479"/>
      <c r="I4" s="479"/>
      <c r="J4" s="479"/>
      <c r="K4" s="479"/>
      <c r="L4" s="479"/>
      <c r="M4" s="479"/>
      <c r="N4" s="479"/>
      <c r="O4" s="479"/>
      <c r="P4" s="479"/>
      <c r="Q4" s="479"/>
      <c r="R4" s="479"/>
      <c r="S4" s="479"/>
      <c r="T4" s="479"/>
      <c r="U4" s="479"/>
      <c r="V4" s="479"/>
      <c r="W4" s="22"/>
      <c r="X4" s="22"/>
      <c r="Y4" s="22"/>
      <c r="Z4" s="22"/>
    </row>
    <row r="5" spans="1:28" ht="12" customHeight="1">
      <c r="A5" s="178"/>
      <c r="B5" s="179"/>
      <c r="C5" s="179"/>
      <c r="D5" s="179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207"/>
      <c r="U5" s="180"/>
      <c r="V5" s="180"/>
      <c r="W5" s="22"/>
      <c r="X5" s="22"/>
      <c r="Y5" s="22"/>
      <c r="Z5" s="22"/>
    </row>
    <row r="6" spans="1:28" ht="13.9" customHeight="1">
      <c r="A6" s="441" t="s">
        <v>0</v>
      </c>
      <c r="B6" s="441" t="s">
        <v>20</v>
      </c>
      <c r="C6" s="441" t="s">
        <v>21</v>
      </c>
      <c r="D6" s="441" t="s">
        <v>22</v>
      </c>
      <c r="E6" s="441" t="s">
        <v>103</v>
      </c>
      <c r="F6" s="443" t="s">
        <v>23</v>
      </c>
      <c r="G6" s="434" t="s">
        <v>104</v>
      </c>
      <c r="H6" s="435"/>
      <c r="I6" s="435"/>
      <c r="J6" s="435"/>
      <c r="K6" s="435"/>
      <c r="L6" s="435"/>
      <c r="M6" s="435"/>
      <c r="N6" s="435"/>
      <c r="O6" s="435"/>
      <c r="P6" s="435"/>
      <c r="Q6" s="436"/>
      <c r="R6" s="441" t="s">
        <v>28</v>
      </c>
      <c r="S6" s="441" t="s">
        <v>167</v>
      </c>
      <c r="T6" s="437" t="s">
        <v>194</v>
      </c>
      <c r="U6" s="441" t="s">
        <v>106</v>
      </c>
      <c r="V6" s="441" t="s">
        <v>108</v>
      </c>
      <c r="W6" s="437" t="s">
        <v>109</v>
      </c>
      <c r="X6" s="437" t="s">
        <v>195</v>
      </c>
      <c r="Y6" s="437" t="s">
        <v>111</v>
      </c>
      <c r="Z6" s="437" t="s">
        <v>112</v>
      </c>
    </row>
    <row r="7" spans="1:28" ht="105.6" customHeight="1">
      <c r="A7" s="441"/>
      <c r="B7" s="441"/>
      <c r="C7" s="441"/>
      <c r="D7" s="441"/>
      <c r="E7" s="441"/>
      <c r="F7" s="443"/>
      <c r="G7" s="441" t="s">
        <v>85</v>
      </c>
      <c r="H7" s="441"/>
      <c r="I7" s="127" t="s">
        <v>25</v>
      </c>
      <c r="J7" s="441" t="s">
        <v>24</v>
      </c>
      <c r="K7" s="441"/>
      <c r="L7" s="444" t="s">
        <v>114</v>
      </c>
      <c r="M7" s="445"/>
      <c r="N7" s="441" t="s">
        <v>26</v>
      </c>
      <c r="O7" s="441"/>
      <c r="P7" s="439" t="s">
        <v>27</v>
      </c>
      <c r="Q7" s="440"/>
      <c r="R7" s="441"/>
      <c r="S7" s="441"/>
      <c r="T7" s="438"/>
      <c r="U7" s="441"/>
      <c r="V7" s="441"/>
      <c r="W7" s="438"/>
      <c r="X7" s="438"/>
      <c r="Y7" s="438"/>
      <c r="Z7" s="438"/>
    </row>
    <row r="8" spans="1:28" ht="24.6" customHeight="1">
      <c r="A8" s="441"/>
      <c r="B8" s="441"/>
      <c r="C8" s="441"/>
      <c r="D8" s="441"/>
      <c r="E8" s="441"/>
      <c r="F8" s="443"/>
      <c r="G8" s="125" t="s">
        <v>3</v>
      </c>
      <c r="H8" s="125" t="s">
        <v>29</v>
      </c>
      <c r="I8" s="125" t="s">
        <v>29</v>
      </c>
      <c r="J8" s="125" t="s">
        <v>3</v>
      </c>
      <c r="K8" s="125" t="s">
        <v>29</v>
      </c>
      <c r="L8" s="125" t="s">
        <v>3</v>
      </c>
      <c r="M8" s="125" t="s">
        <v>29</v>
      </c>
      <c r="N8" s="125" t="s">
        <v>3</v>
      </c>
      <c r="O8" s="125" t="s">
        <v>29</v>
      </c>
      <c r="P8" s="125" t="s">
        <v>3</v>
      </c>
      <c r="Q8" s="125" t="s">
        <v>29</v>
      </c>
      <c r="R8" s="125" t="s">
        <v>29</v>
      </c>
      <c r="S8" s="125" t="s">
        <v>29</v>
      </c>
      <c r="T8" s="125"/>
      <c r="U8" s="125" t="s">
        <v>29</v>
      </c>
      <c r="V8" s="125" t="s">
        <v>29</v>
      </c>
      <c r="W8" s="125" t="s">
        <v>29</v>
      </c>
      <c r="X8" s="125" t="s">
        <v>29</v>
      </c>
      <c r="Y8" s="125" t="s">
        <v>29</v>
      </c>
      <c r="Z8" s="125" t="s">
        <v>29</v>
      </c>
    </row>
    <row r="9" spans="1:28">
      <c r="A9" s="125">
        <v>1</v>
      </c>
      <c r="B9" s="125">
        <v>2</v>
      </c>
      <c r="C9" s="125">
        <v>3</v>
      </c>
      <c r="D9" s="125">
        <v>4</v>
      </c>
      <c r="E9" s="125">
        <v>5</v>
      </c>
      <c r="F9" s="125">
        <v>6</v>
      </c>
      <c r="G9" s="125">
        <v>7</v>
      </c>
      <c r="H9" s="125">
        <v>8</v>
      </c>
      <c r="I9" s="125">
        <v>9</v>
      </c>
      <c r="J9" s="125">
        <v>10</v>
      </c>
      <c r="K9" s="125">
        <v>11</v>
      </c>
      <c r="L9" s="125">
        <v>10</v>
      </c>
      <c r="M9" s="125">
        <v>11</v>
      </c>
      <c r="N9" s="125">
        <v>12</v>
      </c>
      <c r="O9" s="125">
        <v>13</v>
      </c>
      <c r="P9" s="125">
        <v>14</v>
      </c>
      <c r="Q9" s="125">
        <v>15</v>
      </c>
      <c r="R9" s="125">
        <v>16</v>
      </c>
      <c r="S9" s="125">
        <v>17</v>
      </c>
      <c r="T9" s="125">
        <v>18</v>
      </c>
      <c r="U9" s="126" t="s">
        <v>124</v>
      </c>
      <c r="V9" s="126" t="s">
        <v>117</v>
      </c>
      <c r="W9" s="126" t="s">
        <v>118</v>
      </c>
      <c r="X9" s="126" t="s">
        <v>119</v>
      </c>
      <c r="Y9" s="126" t="s">
        <v>120</v>
      </c>
      <c r="Z9" s="126" t="s">
        <v>121</v>
      </c>
    </row>
    <row r="10" spans="1:28">
      <c r="A10" s="434" t="s">
        <v>354</v>
      </c>
      <c r="B10" s="435"/>
      <c r="C10" s="435"/>
      <c r="D10" s="435"/>
      <c r="E10" s="435"/>
      <c r="F10" s="435"/>
      <c r="G10" s="435"/>
      <c r="H10" s="435"/>
      <c r="I10" s="435"/>
      <c r="J10" s="435"/>
      <c r="K10" s="435"/>
      <c r="L10" s="435"/>
      <c r="M10" s="435"/>
      <c r="N10" s="435"/>
      <c r="O10" s="435"/>
      <c r="P10" s="435"/>
      <c r="Q10" s="435"/>
      <c r="R10" s="435"/>
      <c r="S10" s="435"/>
      <c r="T10" s="435"/>
      <c r="U10" s="435"/>
      <c r="V10" s="435"/>
      <c r="W10" s="435"/>
      <c r="X10" s="435"/>
      <c r="Y10" s="435"/>
      <c r="Z10" s="435"/>
    </row>
    <row r="11" spans="1:28">
      <c r="A11" s="78">
        <v>1</v>
      </c>
      <c r="B11" s="75" t="s">
        <v>197</v>
      </c>
      <c r="C11" s="79">
        <v>1</v>
      </c>
      <c r="D11" s="169">
        <v>7040</v>
      </c>
      <c r="E11" s="183">
        <v>1</v>
      </c>
      <c r="F11" s="169">
        <f t="shared" ref="F11" si="0">+E11*D11</f>
        <v>7040</v>
      </c>
      <c r="G11" s="89"/>
      <c r="H11" s="169"/>
      <c r="I11" s="169"/>
      <c r="J11" s="140"/>
      <c r="K11" s="141"/>
      <c r="L11" s="130">
        <v>0.25</v>
      </c>
      <c r="M11" s="169">
        <f>D11*L11</f>
        <v>1760</v>
      </c>
      <c r="N11" s="130"/>
      <c r="O11" s="169">
        <v>2500</v>
      </c>
      <c r="P11" s="141"/>
      <c r="Q11" s="141"/>
      <c r="R11" s="169">
        <f t="shared" ref="R11:R21" si="1">F11+H11+I11+K11+Q11+M11+O11</f>
        <v>11300</v>
      </c>
      <c r="S11" s="141">
        <f t="shared" ref="S11:S21" si="2">R11*C11</f>
        <v>11300</v>
      </c>
      <c r="T11" s="169">
        <f t="shared" ref="T11:T21" si="3">(((S11+(S11*14.0135/12/12)))*3/3/29.6)*30</f>
        <v>12567.23360078829</v>
      </c>
      <c r="U11" s="169">
        <f t="shared" ref="U11:U21" si="4">S11*2</f>
        <v>22600</v>
      </c>
      <c r="V11" s="169">
        <f t="shared" ref="V11:V14" si="5">(S11*14.0135)/12</f>
        <v>13196.045833333335</v>
      </c>
      <c r="W11" s="141"/>
      <c r="X11" s="169">
        <f>(S11*7)+V11+W11+T11+U11</f>
        <v>127463.27943412162</v>
      </c>
      <c r="Y11" s="169">
        <f>((S11*7)+T11+V11)*0.1725</f>
        <v>18088.915702385977</v>
      </c>
      <c r="Z11" s="169">
        <f t="shared" ref="Z11:Z21" si="6">X11+Y11+W11</f>
        <v>145552.19513650759</v>
      </c>
    </row>
    <row r="12" spans="1:28">
      <c r="A12" s="78">
        <v>3</v>
      </c>
      <c r="B12" s="76" t="s">
        <v>66</v>
      </c>
      <c r="C12" s="87">
        <v>1</v>
      </c>
      <c r="D12" s="169">
        <v>7040</v>
      </c>
      <c r="E12" s="183">
        <v>1</v>
      </c>
      <c r="F12" s="169">
        <f t="shared" ref="F12:F21" si="7">D12*E12</f>
        <v>7040</v>
      </c>
      <c r="G12" s="139"/>
      <c r="H12" s="169"/>
      <c r="I12" s="169"/>
      <c r="J12" s="139"/>
      <c r="K12" s="139"/>
      <c r="L12" s="184">
        <v>0.25</v>
      </c>
      <c r="M12" s="169">
        <f t="shared" ref="M12:M13" si="8">D12*L12</f>
        <v>1760</v>
      </c>
      <c r="N12" s="139"/>
      <c r="O12" s="169">
        <v>3500</v>
      </c>
      <c r="P12" s="139"/>
      <c r="Q12" s="141"/>
      <c r="R12" s="169">
        <f t="shared" si="1"/>
        <v>12300</v>
      </c>
      <c r="S12" s="141">
        <f t="shared" si="2"/>
        <v>12300</v>
      </c>
      <c r="T12" s="169">
        <f t="shared" si="3"/>
        <v>13679.378167229728</v>
      </c>
      <c r="U12" s="169">
        <f t="shared" si="4"/>
        <v>24600</v>
      </c>
      <c r="V12" s="169">
        <f t="shared" si="5"/>
        <v>14363.837500000001</v>
      </c>
      <c r="W12" s="141"/>
      <c r="X12" s="169">
        <f t="shared" ref="X12:X21" si="9">(S12*7)+V12+W12+T12+U12</f>
        <v>138743.21566722973</v>
      </c>
      <c r="Y12" s="169">
        <f t="shared" ref="Y12:Y21" si="10">((S12*7)+T12+V12)*0.1725</f>
        <v>19689.704702597126</v>
      </c>
      <c r="Z12" s="169">
        <f t="shared" si="6"/>
        <v>158432.92036982684</v>
      </c>
    </row>
    <row r="13" spans="1:28">
      <c r="A13" s="78">
        <v>4</v>
      </c>
      <c r="B13" s="76" t="s">
        <v>126</v>
      </c>
      <c r="C13" s="87">
        <v>4</v>
      </c>
      <c r="D13" s="169">
        <v>7040</v>
      </c>
      <c r="E13" s="183">
        <v>1</v>
      </c>
      <c r="F13" s="169">
        <f t="shared" si="7"/>
        <v>7040</v>
      </c>
      <c r="G13" s="139"/>
      <c r="H13" s="169"/>
      <c r="I13" s="169"/>
      <c r="J13" s="139"/>
      <c r="K13" s="139"/>
      <c r="L13" s="184">
        <v>0.5</v>
      </c>
      <c r="M13" s="169">
        <f t="shared" si="8"/>
        <v>3520</v>
      </c>
      <c r="N13" s="139"/>
      <c r="O13" s="169">
        <v>3500</v>
      </c>
      <c r="P13" s="139"/>
      <c r="Q13" s="141"/>
      <c r="R13" s="169">
        <f t="shared" si="1"/>
        <v>14060</v>
      </c>
      <c r="S13" s="141">
        <f t="shared" si="2"/>
        <v>56240</v>
      </c>
      <c r="T13" s="169">
        <f t="shared" si="3"/>
        <v>62547.010416666664</v>
      </c>
      <c r="U13" s="169">
        <f t="shared" si="4"/>
        <v>112480</v>
      </c>
      <c r="V13" s="169">
        <f t="shared" si="5"/>
        <v>65676.603333333333</v>
      </c>
      <c r="W13" s="141"/>
      <c r="X13" s="169">
        <f t="shared" si="9"/>
        <v>634383.61375000002</v>
      </c>
      <c r="Y13" s="169">
        <f t="shared" si="10"/>
        <v>90028.373371875001</v>
      </c>
      <c r="Z13" s="169">
        <f t="shared" si="6"/>
        <v>724411.98712187505</v>
      </c>
      <c r="AB13" s="86"/>
    </row>
    <row r="14" spans="1:28">
      <c r="A14" s="78">
        <v>6</v>
      </c>
      <c r="B14" s="76" t="s">
        <v>51</v>
      </c>
      <c r="C14" s="87">
        <v>1</v>
      </c>
      <c r="D14" s="169">
        <v>7040</v>
      </c>
      <c r="E14" s="183">
        <v>1</v>
      </c>
      <c r="F14" s="169">
        <f t="shared" si="7"/>
        <v>7040</v>
      </c>
      <c r="G14" s="139"/>
      <c r="H14" s="169"/>
      <c r="I14" s="169"/>
      <c r="J14" s="139"/>
      <c r="K14" s="139"/>
      <c r="L14" s="141"/>
      <c r="M14" s="169"/>
      <c r="N14" s="139"/>
      <c r="O14" s="169">
        <v>3500</v>
      </c>
      <c r="P14" s="139"/>
      <c r="Q14" s="141"/>
      <c r="R14" s="169">
        <f t="shared" si="1"/>
        <v>10540</v>
      </c>
      <c r="S14" s="141">
        <f t="shared" si="2"/>
        <v>10540</v>
      </c>
      <c r="T14" s="169">
        <f t="shared" si="3"/>
        <v>11722.003730292794</v>
      </c>
      <c r="U14" s="169">
        <f t="shared" si="4"/>
        <v>21080</v>
      </c>
      <c r="V14" s="169">
        <f t="shared" si="5"/>
        <v>12308.524166666668</v>
      </c>
      <c r="W14" s="141"/>
      <c r="X14" s="169">
        <f t="shared" si="9"/>
        <v>118890.52789695947</v>
      </c>
      <c r="Y14" s="169">
        <f t="shared" si="10"/>
        <v>16872.316062225505</v>
      </c>
      <c r="Z14" s="169">
        <f t="shared" si="6"/>
        <v>135762.84395918497</v>
      </c>
    </row>
    <row r="15" spans="1:28">
      <c r="A15" s="78">
        <v>7</v>
      </c>
      <c r="B15" s="76" t="s">
        <v>52</v>
      </c>
      <c r="C15" s="87">
        <v>1</v>
      </c>
      <c r="D15" s="169">
        <v>7040</v>
      </c>
      <c r="E15" s="183">
        <v>1</v>
      </c>
      <c r="F15" s="169">
        <f t="shared" si="7"/>
        <v>7040</v>
      </c>
      <c r="G15" s="139"/>
      <c r="H15" s="169"/>
      <c r="I15" s="169"/>
      <c r="J15" s="139"/>
      <c r="K15" s="139"/>
      <c r="L15" s="184"/>
      <c r="M15" s="169"/>
      <c r="N15" s="139"/>
      <c r="O15" s="169">
        <v>3500</v>
      </c>
      <c r="P15" s="139"/>
      <c r="Q15" s="141"/>
      <c r="R15" s="169">
        <f t="shared" si="1"/>
        <v>10540</v>
      </c>
      <c r="S15" s="141">
        <f t="shared" si="2"/>
        <v>10540</v>
      </c>
      <c r="T15" s="169">
        <f t="shared" si="3"/>
        <v>11722.003730292794</v>
      </c>
      <c r="U15" s="169">
        <f t="shared" si="4"/>
        <v>21080</v>
      </c>
      <c r="V15" s="85"/>
      <c r="W15" s="141"/>
      <c r="X15" s="169">
        <f t="shared" si="9"/>
        <v>106582.0037302928</v>
      </c>
      <c r="Y15" s="169">
        <f t="shared" si="10"/>
        <v>14749.095643475506</v>
      </c>
      <c r="Z15" s="169">
        <f t="shared" si="6"/>
        <v>121331.0993737683</v>
      </c>
    </row>
    <row r="16" spans="1:28" ht="25.5">
      <c r="A16" s="78">
        <v>8</v>
      </c>
      <c r="B16" s="76" t="s">
        <v>198</v>
      </c>
      <c r="C16" s="87">
        <v>3</v>
      </c>
      <c r="D16" s="169">
        <v>7040</v>
      </c>
      <c r="E16" s="183">
        <v>1</v>
      </c>
      <c r="F16" s="169">
        <f t="shared" si="7"/>
        <v>7040</v>
      </c>
      <c r="G16" s="139"/>
      <c r="H16" s="169"/>
      <c r="I16" s="169"/>
      <c r="J16" s="139"/>
      <c r="K16" s="139"/>
      <c r="L16" s="184">
        <v>0.5</v>
      </c>
      <c r="M16" s="169">
        <f t="shared" ref="M16" si="11">D16*L16</f>
        <v>3520</v>
      </c>
      <c r="N16" s="139"/>
      <c r="O16" s="169">
        <v>3500</v>
      </c>
      <c r="P16" s="139"/>
      <c r="Q16" s="141"/>
      <c r="R16" s="169">
        <f t="shared" si="1"/>
        <v>14060</v>
      </c>
      <c r="S16" s="141">
        <f t="shared" si="2"/>
        <v>42180</v>
      </c>
      <c r="T16" s="169">
        <f t="shared" si="3"/>
        <v>46910.2578125</v>
      </c>
      <c r="U16" s="169">
        <f t="shared" si="4"/>
        <v>84360</v>
      </c>
      <c r="V16" s="169">
        <f t="shared" ref="V16:V21" si="12">(S16*14.0135)/12</f>
        <v>49257.452500000007</v>
      </c>
      <c r="W16" s="141"/>
      <c r="X16" s="169">
        <f t="shared" si="9"/>
        <v>475787.71031250001</v>
      </c>
      <c r="Y16" s="169">
        <f t="shared" si="10"/>
        <v>67521.280028906243</v>
      </c>
      <c r="Z16" s="169">
        <f t="shared" si="6"/>
        <v>543308.99034140632</v>
      </c>
    </row>
    <row r="17" spans="1:28" ht="25.5">
      <c r="A17" s="78">
        <v>9</v>
      </c>
      <c r="B17" s="76" t="s">
        <v>127</v>
      </c>
      <c r="C17" s="87">
        <v>3</v>
      </c>
      <c r="D17" s="169">
        <v>7040</v>
      </c>
      <c r="E17" s="183">
        <v>1</v>
      </c>
      <c r="F17" s="169">
        <f t="shared" si="7"/>
        <v>7040</v>
      </c>
      <c r="G17" s="139"/>
      <c r="H17" s="169"/>
      <c r="I17" s="169"/>
      <c r="J17" s="139"/>
      <c r="K17" s="139"/>
      <c r="L17" s="184"/>
      <c r="M17" s="169"/>
      <c r="N17" s="139"/>
      <c r="O17" s="169"/>
      <c r="P17" s="139"/>
      <c r="Q17" s="141"/>
      <c r="R17" s="169">
        <f t="shared" si="1"/>
        <v>7040</v>
      </c>
      <c r="S17" s="141">
        <f t="shared" si="2"/>
        <v>21120</v>
      </c>
      <c r="T17" s="169">
        <f t="shared" si="3"/>
        <v>23488.493243243243</v>
      </c>
      <c r="U17" s="169">
        <f t="shared" si="4"/>
        <v>42240</v>
      </c>
      <c r="V17" s="169">
        <f t="shared" si="12"/>
        <v>24663.759999999998</v>
      </c>
      <c r="W17" s="141"/>
      <c r="X17" s="169">
        <f t="shared" si="9"/>
        <v>238232.25324324326</v>
      </c>
      <c r="Y17" s="169">
        <f t="shared" si="10"/>
        <v>33808.663684459461</v>
      </c>
      <c r="Z17" s="169">
        <f t="shared" si="6"/>
        <v>272040.91692770272</v>
      </c>
    </row>
    <row r="18" spans="1:28" ht="25.5">
      <c r="A18" s="78">
        <v>10</v>
      </c>
      <c r="B18" s="76" t="s">
        <v>128</v>
      </c>
      <c r="C18" s="87">
        <v>1</v>
      </c>
      <c r="D18" s="169">
        <v>7040</v>
      </c>
      <c r="E18" s="183">
        <v>1</v>
      </c>
      <c r="F18" s="169">
        <f t="shared" si="7"/>
        <v>7040</v>
      </c>
      <c r="G18" s="139"/>
      <c r="H18" s="169"/>
      <c r="I18" s="169"/>
      <c r="J18" s="139"/>
      <c r="K18" s="139"/>
      <c r="L18" s="184"/>
      <c r="M18" s="169"/>
      <c r="N18" s="139"/>
      <c r="O18" s="169"/>
      <c r="P18" s="139"/>
      <c r="Q18" s="141"/>
      <c r="R18" s="169">
        <f t="shared" si="1"/>
        <v>7040</v>
      </c>
      <c r="S18" s="141">
        <f t="shared" si="2"/>
        <v>7040</v>
      </c>
      <c r="T18" s="169">
        <f t="shared" si="3"/>
        <v>7829.4977477477469</v>
      </c>
      <c r="U18" s="169">
        <f t="shared" si="4"/>
        <v>14080</v>
      </c>
      <c r="V18" s="169">
        <f t="shared" si="12"/>
        <v>8221.253333333334</v>
      </c>
      <c r="W18" s="141"/>
      <c r="X18" s="169">
        <f t="shared" si="9"/>
        <v>79410.751081081078</v>
      </c>
      <c r="Y18" s="169">
        <f t="shared" si="10"/>
        <v>11269.554561486486</v>
      </c>
      <c r="Z18" s="169">
        <f t="shared" si="6"/>
        <v>90680.30564256756</v>
      </c>
    </row>
    <row r="19" spans="1:28" ht="25.5">
      <c r="A19" s="78">
        <v>11</v>
      </c>
      <c r="B19" s="76" t="s">
        <v>86</v>
      </c>
      <c r="C19" s="87">
        <v>9</v>
      </c>
      <c r="D19" s="169">
        <v>7040</v>
      </c>
      <c r="E19" s="183">
        <v>1</v>
      </c>
      <c r="F19" s="169">
        <f t="shared" si="7"/>
        <v>7040</v>
      </c>
      <c r="G19" s="139"/>
      <c r="H19" s="169"/>
      <c r="I19" s="169"/>
      <c r="J19" s="139"/>
      <c r="K19" s="139"/>
      <c r="L19" s="184">
        <v>0.5</v>
      </c>
      <c r="M19" s="169">
        <f t="shared" ref="M19:M21" si="13">D19*L19</f>
        <v>3520</v>
      </c>
      <c r="N19" s="139"/>
      <c r="O19" s="169"/>
      <c r="P19" s="139"/>
      <c r="Q19" s="141"/>
      <c r="R19" s="169">
        <f t="shared" si="1"/>
        <v>10560</v>
      </c>
      <c r="S19" s="141">
        <f t="shared" si="2"/>
        <v>95040</v>
      </c>
      <c r="T19" s="169">
        <f t="shared" si="3"/>
        <v>105698.21959459459</v>
      </c>
      <c r="U19" s="169">
        <f t="shared" si="4"/>
        <v>190080</v>
      </c>
      <c r="V19" s="169">
        <f t="shared" si="12"/>
        <v>110986.92</v>
      </c>
      <c r="W19" s="141"/>
      <c r="X19" s="169">
        <f t="shared" si="9"/>
        <v>1072045.1395945945</v>
      </c>
      <c r="Y19" s="169">
        <f t="shared" si="10"/>
        <v>152138.98658006755</v>
      </c>
      <c r="Z19" s="169">
        <f t="shared" si="6"/>
        <v>1224184.126174662</v>
      </c>
    </row>
    <row r="20" spans="1:28">
      <c r="A20" s="78">
        <v>12</v>
      </c>
      <c r="B20" s="76" t="s">
        <v>199</v>
      </c>
      <c r="C20" s="87">
        <v>2</v>
      </c>
      <c r="D20" s="169">
        <v>7040</v>
      </c>
      <c r="E20" s="183">
        <v>1</v>
      </c>
      <c r="F20" s="169">
        <f t="shared" si="7"/>
        <v>7040</v>
      </c>
      <c r="G20" s="139"/>
      <c r="H20" s="169"/>
      <c r="I20" s="169"/>
      <c r="J20" s="139"/>
      <c r="K20" s="139"/>
      <c r="L20" s="184">
        <v>0.25</v>
      </c>
      <c r="M20" s="169">
        <f t="shared" si="13"/>
        <v>1760</v>
      </c>
      <c r="N20" s="139"/>
      <c r="O20" s="169">
        <v>8000</v>
      </c>
      <c r="P20" s="139"/>
      <c r="Q20" s="141"/>
      <c r="R20" s="169">
        <f t="shared" si="1"/>
        <v>16800</v>
      </c>
      <c r="S20" s="141">
        <f t="shared" si="2"/>
        <v>33600</v>
      </c>
      <c r="T20" s="169">
        <f t="shared" si="3"/>
        <v>37368.057432432426</v>
      </c>
      <c r="U20" s="169">
        <f t="shared" si="4"/>
        <v>67200</v>
      </c>
      <c r="V20" s="169">
        <f t="shared" si="12"/>
        <v>39237.800000000003</v>
      </c>
      <c r="W20" s="141"/>
      <c r="X20" s="169">
        <f t="shared" si="9"/>
        <v>379005.85743243241</v>
      </c>
      <c r="Y20" s="169">
        <f t="shared" si="10"/>
        <v>53786.510407094589</v>
      </c>
      <c r="Z20" s="169">
        <f t="shared" si="6"/>
        <v>432792.36783952703</v>
      </c>
    </row>
    <row r="21" spans="1:28">
      <c r="A21" s="78">
        <v>13</v>
      </c>
      <c r="B21" s="76" t="s">
        <v>200</v>
      </c>
      <c r="C21" s="87">
        <v>3</v>
      </c>
      <c r="D21" s="169">
        <v>7040</v>
      </c>
      <c r="E21" s="183">
        <v>1</v>
      </c>
      <c r="F21" s="169">
        <f t="shared" si="7"/>
        <v>7040</v>
      </c>
      <c r="G21" s="139"/>
      <c r="H21" s="169"/>
      <c r="I21" s="169"/>
      <c r="J21" s="139"/>
      <c r="K21" s="139"/>
      <c r="L21" s="89">
        <v>0.5</v>
      </c>
      <c r="M21" s="169">
        <f t="shared" si="13"/>
        <v>3520</v>
      </c>
      <c r="N21" s="139"/>
      <c r="O21" s="169">
        <v>5000</v>
      </c>
      <c r="P21" s="139"/>
      <c r="Q21" s="141"/>
      <c r="R21" s="169">
        <f t="shared" si="1"/>
        <v>15560</v>
      </c>
      <c r="S21" s="141">
        <f t="shared" si="2"/>
        <v>46680</v>
      </c>
      <c r="T21" s="169">
        <f t="shared" si="3"/>
        <v>51914.908361486487</v>
      </c>
      <c r="U21" s="169">
        <f t="shared" si="4"/>
        <v>93360</v>
      </c>
      <c r="V21" s="169">
        <f t="shared" si="12"/>
        <v>54512.515000000007</v>
      </c>
      <c r="W21" s="141"/>
      <c r="X21" s="169">
        <f t="shared" si="9"/>
        <v>526547.42336148652</v>
      </c>
      <c r="Y21" s="169">
        <f t="shared" si="10"/>
        <v>74724.830529856423</v>
      </c>
      <c r="Z21" s="169">
        <f t="shared" si="6"/>
        <v>601272.2538913429</v>
      </c>
    </row>
    <row r="22" spans="1:28" s="182" customFormat="1">
      <c r="A22" s="125"/>
      <c r="B22" s="19" t="s">
        <v>196</v>
      </c>
      <c r="C22" s="185">
        <f>SUM(C10:C21)</f>
        <v>29</v>
      </c>
      <c r="D22" s="132"/>
      <c r="E22" s="186"/>
      <c r="F22" s="132"/>
      <c r="G22" s="187"/>
      <c r="H22" s="132">
        <f>SUM(H10:H21)</f>
        <v>0</v>
      </c>
      <c r="I22" s="132"/>
      <c r="J22" s="143">
        <f>SUM(J10:J21)</f>
        <v>0</v>
      </c>
      <c r="K22" s="143">
        <f>SUM(K10:K21)</f>
        <v>0</v>
      </c>
      <c r="L22" s="143"/>
      <c r="M22" s="132">
        <f>SUM(M10:M21)</f>
        <v>19360</v>
      </c>
      <c r="N22" s="143"/>
      <c r="O22" s="132">
        <f>SUM(O10:O21)</f>
        <v>33000</v>
      </c>
      <c r="P22" s="143"/>
      <c r="Q22" s="143"/>
      <c r="R22" s="132">
        <f t="shared" ref="R22:Z22" si="14">SUM(R10:R21)</f>
        <v>129800</v>
      </c>
      <c r="S22" s="132">
        <f t="shared" si="14"/>
        <v>346580</v>
      </c>
      <c r="T22" s="132">
        <f t="shared" si="14"/>
        <v>385447.06383727479</v>
      </c>
      <c r="U22" s="132">
        <f t="shared" si="14"/>
        <v>693160</v>
      </c>
      <c r="V22" s="132">
        <f t="shared" si="14"/>
        <v>392424.71166666667</v>
      </c>
      <c r="W22" s="132">
        <f t="shared" si="14"/>
        <v>0</v>
      </c>
      <c r="X22" s="132">
        <f t="shared" si="14"/>
        <v>3897091.7755039418</v>
      </c>
      <c r="Y22" s="132">
        <f t="shared" si="14"/>
        <v>552678.23127442983</v>
      </c>
      <c r="Z22" s="132">
        <f t="shared" si="14"/>
        <v>4449770.0067783715</v>
      </c>
      <c r="AA22" s="181"/>
    </row>
    <row r="23" spans="1:28">
      <c r="A23" s="434" t="s">
        <v>355</v>
      </c>
      <c r="B23" s="435"/>
      <c r="C23" s="435"/>
      <c r="D23" s="435"/>
      <c r="E23" s="435"/>
      <c r="F23" s="435"/>
      <c r="G23" s="435"/>
      <c r="H23" s="435"/>
      <c r="I23" s="435"/>
      <c r="J23" s="435"/>
      <c r="K23" s="435"/>
      <c r="L23" s="435"/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</row>
    <row r="24" spans="1:28">
      <c r="A24" s="78">
        <v>1</v>
      </c>
      <c r="B24" s="75" t="s">
        <v>197</v>
      </c>
      <c r="C24" s="79">
        <v>1</v>
      </c>
      <c r="D24" s="169">
        <v>7040</v>
      </c>
      <c r="E24" s="183">
        <v>1.2</v>
      </c>
      <c r="F24" s="169">
        <f t="shared" ref="F24" si="15">+E24*D24</f>
        <v>8448</v>
      </c>
      <c r="G24" s="89"/>
      <c r="H24" s="169"/>
      <c r="I24" s="169"/>
      <c r="J24" s="140"/>
      <c r="K24" s="141"/>
      <c r="L24" s="130">
        <v>0.25</v>
      </c>
      <c r="M24" s="169">
        <f>D24*L24</f>
        <v>1760</v>
      </c>
      <c r="N24" s="130"/>
      <c r="O24" s="169">
        <v>2500</v>
      </c>
      <c r="P24" s="141"/>
      <c r="Q24" s="141"/>
      <c r="R24" s="169">
        <f t="shared" ref="R24:R34" si="16">F24+H24+I24+K24+Q24+M24+O24</f>
        <v>12708</v>
      </c>
      <c r="S24" s="141">
        <f t="shared" ref="S24:S33" si="17">R24*C24</f>
        <v>12708</v>
      </c>
      <c r="T24" s="169">
        <f t="shared" ref="T24:T34" si="18">(((S24+(S24*14.0135/12/12)))*3/3/29.6)*30</f>
        <v>14133.133150337839</v>
      </c>
      <c r="U24" s="169">
        <f t="shared" ref="U24:U34" si="19">S24*2</f>
        <v>25416</v>
      </c>
      <c r="V24" s="169">
        <f>(S24*14.0135)/12</f>
        <v>14840.296500000002</v>
      </c>
      <c r="W24" s="141"/>
      <c r="X24" s="169">
        <f t="shared" ref="X24:X34" si="20">(S24*7)+V24+W24+T24+U24</f>
        <v>143345.42965033784</v>
      </c>
      <c r="Y24" s="169">
        <f t="shared" ref="Y24:Y34" si="21">((S24*7)+T24+V24)*0.1725</f>
        <v>20342.826614683276</v>
      </c>
      <c r="Z24" s="169">
        <f t="shared" ref="Z24:Z34" si="22">X24+Y24+W24</f>
        <v>163688.2562650211</v>
      </c>
    </row>
    <row r="25" spans="1:28">
      <c r="A25" s="78">
        <v>3</v>
      </c>
      <c r="B25" s="76" t="s">
        <v>66</v>
      </c>
      <c r="C25" s="87">
        <v>1</v>
      </c>
      <c r="D25" s="169">
        <v>7040</v>
      </c>
      <c r="E25" s="183">
        <v>1.2</v>
      </c>
      <c r="F25" s="169">
        <f t="shared" ref="F25:F34" si="23">D25*E25</f>
        <v>8448</v>
      </c>
      <c r="G25" s="139"/>
      <c r="H25" s="169"/>
      <c r="I25" s="169"/>
      <c r="J25" s="139"/>
      <c r="K25" s="139"/>
      <c r="L25" s="184">
        <v>0.25</v>
      </c>
      <c r="M25" s="169">
        <f t="shared" ref="M25:M34" si="24">D25*L25</f>
        <v>1760</v>
      </c>
      <c r="N25" s="139"/>
      <c r="O25" s="169">
        <v>3500</v>
      </c>
      <c r="P25" s="139"/>
      <c r="Q25" s="141"/>
      <c r="R25" s="169">
        <f t="shared" si="16"/>
        <v>13708</v>
      </c>
      <c r="S25" s="141">
        <f t="shared" si="17"/>
        <v>13708</v>
      </c>
      <c r="T25" s="169">
        <f t="shared" si="18"/>
        <v>15245.277716779279</v>
      </c>
      <c r="U25" s="169">
        <f t="shared" si="19"/>
        <v>27416</v>
      </c>
      <c r="V25" s="169">
        <f t="shared" ref="V25:V27" si="25">(S25*14.0135)/12</f>
        <v>16008.088166666668</v>
      </c>
      <c r="W25" s="141"/>
      <c r="X25" s="169">
        <f t="shared" si="20"/>
        <v>154625.36588344595</v>
      </c>
      <c r="Y25" s="169">
        <f t="shared" si="21"/>
        <v>21943.615614894425</v>
      </c>
      <c r="Z25" s="169">
        <f t="shared" si="22"/>
        <v>176568.98149834038</v>
      </c>
    </row>
    <row r="26" spans="1:28">
      <c r="A26" s="78">
        <v>4</v>
      </c>
      <c r="B26" s="76" t="s">
        <v>126</v>
      </c>
      <c r="C26" s="87">
        <v>4</v>
      </c>
      <c r="D26" s="169">
        <v>7040</v>
      </c>
      <c r="E26" s="183">
        <v>1.2</v>
      </c>
      <c r="F26" s="169">
        <f t="shared" si="23"/>
        <v>8448</v>
      </c>
      <c r="G26" s="139"/>
      <c r="H26" s="169"/>
      <c r="I26" s="169"/>
      <c r="J26" s="139"/>
      <c r="K26" s="139"/>
      <c r="L26" s="184">
        <v>0.5</v>
      </c>
      <c r="M26" s="169">
        <f t="shared" si="24"/>
        <v>3520</v>
      </c>
      <c r="N26" s="139"/>
      <c r="O26" s="169">
        <v>3500</v>
      </c>
      <c r="P26" s="139"/>
      <c r="Q26" s="141"/>
      <c r="R26" s="169">
        <f t="shared" si="16"/>
        <v>15468</v>
      </c>
      <c r="S26" s="141">
        <f t="shared" si="17"/>
        <v>61872</v>
      </c>
      <c r="T26" s="169">
        <f t="shared" si="18"/>
        <v>68810.608614864846</v>
      </c>
      <c r="U26" s="169">
        <f t="shared" si="19"/>
        <v>123744</v>
      </c>
      <c r="V26" s="169">
        <f t="shared" si="25"/>
        <v>72253.606</v>
      </c>
      <c r="W26" s="141"/>
      <c r="X26" s="169">
        <f t="shared" si="20"/>
        <v>697912.2146148649</v>
      </c>
      <c r="Y26" s="169">
        <f t="shared" si="21"/>
        <v>99044.017021064195</v>
      </c>
      <c r="Z26" s="169">
        <f t="shared" si="22"/>
        <v>796956.23163592909</v>
      </c>
      <c r="AB26" s="86"/>
    </row>
    <row r="27" spans="1:28">
      <c r="A27" s="78">
        <v>6</v>
      </c>
      <c r="B27" s="76" t="s">
        <v>51</v>
      </c>
      <c r="C27" s="87">
        <v>1</v>
      </c>
      <c r="D27" s="169">
        <v>7040</v>
      </c>
      <c r="E27" s="183">
        <v>1.2</v>
      </c>
      <c r="F27" s="169">
        <f t="shared" si="23"/>
        <v>8448</v>
      </c>
      <c r="G27" s="139"/>
      <c r="H27" s="169"/>
      <c r="I27" s="169"/>
      <c r="J27" s="139"/>
      <c r="K27" s="139"/>
      <c r="L27" s="141"/>
      <c r="M27" s="169"/>
      <c r="N27" s="139"/>
      <c r="O27" s="169">
        <v>3500</v>
      </c>
      <c r="P27" s="139"/>
      <c r="Q27" s="141"/>
      <c r="R27" s="169">
        <f t="shared" si="16"/>
        <v>11948</v>
      </c>
      <c r="S27" s="141">
        <f t="shared" si="17"/>
        <v>11948</v>
      </c>
      <c r="T27" s="169">
        <f t="shared" si="18"/>
        <v>13287.903279842341</v>
      </c>
      <c r="U27" s="169">
        <f t="shared" si="19"/>
        <v>23896</v>
      </c>
      <c r="V27" s="169">
        <f t="shared" si="25"/>
        <v>13952.774833333335</v>
      </c>
      <c r="W27" s="141"/>
      <c r="X27" s="169">
        <f t="shared" si="20"/>
        <v>134772.67811317567</v>
      </c>
      <c r="Y27" s="169">
        <f t="shared" si="21"/>
        <v>19126.2269745228</v>
      </c>
      <c r="Z27" s="169">
        <f t="shared" si="22"/>
        <v>153898.90508769848</v>
      </c>
    </row>
    <row r="28" spans="1:28">
      <c r="A28" s="78">
        <v>7</v>
      </c>
      <c r="B28" s="76" t="s">
        <v>52</v>
      </c>
      <c r="C28" s="87">
        <v>1</v>
      </c>
      <c r="D28" s="169">
        <v>7040</v>
      </c>
      <c r="E28" s="183">
        <v>1.2</v>
      </c>
      <c r="F28" s="169">
        <f t="shared" si="23"/>
        <v>8448</v>
      </c>
      <c r="G28" s="139"/>
      <c r="H28" s="169"/>
      <c r="I28" s="169"/>
      <c r="J28" s="139"/>
      <c r="K28" s="139"/>
      <c r="L28" s="184"/>
      <c r="M28" s="169"/>
      <c r="N28" s="139"/>
      <c r="O28" s="169">
        <v>3500</v>
      </c>
      <c r="P28" s="139"/>
      <c r="Q28" s="141"/>
      <c r="R28" s="169">
        <f t="shared" si="16"/>
        <v>11948</v>
      </c>
      <c r="S28" s="141">
        <f t="shared" si="17"/>
        <v>11948</v>
      </c>
      <c r="T28" s="169">
        <f t="shared" si="18"/>
        <v>13287.903279842341</v>
      </c>
      <c r="U28" s="169">
        <f t="shared" si="19"/>
        <v>23896</v>
      </c>
      <c r="V28" s="85"/>
      <c r="W28" s="141"/>
      <c r="X28" s="169">
        <f t="shared" si="20"/>
        <v>120819.90327984234</v>
      </c>
      <c r="Y28" s="169">
        <f t="shared" si="21"/>
        <v>16719.373315772802</v>
      </c>
      <c r="Z28" s="169">
        <f t="shared" si="22"/>
        <v>137539.27659561514</v>
      </c>
    </row>
    <row r="29" spans="1:28" ht="25.5">
      <c r="A29" s="78">
        <v>8</v>
      </c>
      <c r="B29" s="76" t="s">
        <v>198</v>
      </c>
      <c r="C29" s="87">
        <v>3</v>
      </c>
      <c r="D29" s="169">
        <v>7040</v>
      </c>
      <c r="E29" s="183">
        <v>1.2</v>
      </c>
      <c r="F29" s="169">
        <f t="shared" si="23"/>
        <v>8448</v>
      </c>
      <c r="G29" s="139"/>
      <c r="H29" s="169"/>
      <c r="I29" s="169"/>
      <c r="J29" s="139"/>
      <c r="K29" s="139"/>
      <c r="L29" s="184">
        <v>0.5</v>
      </c>
      <c r="M29" s="169">
        <f t="shared" si="24"/>
        <v>3520</v>
      </c>
      <c r="N29" s="139"/>
      <c r="O29" s="169">
        <v>3500</v>
      </c>
      <c r="P29" s="139"/>
      <c r="Q29" s="141"/>
      <c r="R29" s="169">
        <f t="shared" si="16"/>
        <v>15468</v>
      </c>
      <c r="S29" s="141">
        <f t="shared" si="17"/>
        <v>46404</v>
      </c>
      <c r="T29" s="169">
        <f t="shared" si="18"/>
        <v>51607.956461148649</v>
      </c>
      <c r="U29" s="169">
        <f t="shared" si="19"/>
        <v>92808</v>
      </c>
      <c r="V29" s="169">
        <f t="shared" ref="V29:V34" si="26">(S29*14.0135)/12</f>
        <v>54190.2045</v>
      </c>
      <c r="W29" s="141"/>
      <c r="X29" s="169">
        <f t="shared" si="20"/>
        <v>523434.16096114862</v>
      </c>
      <c r="Y29" s="169">
        <f t="shared" si="21"/>
        <v>74283.012765798136</v>
      </c>
      <c r="Z29" s="169">
        <f t="shared" si="22"/>
        <v>597717.17372694681</v>
      </c>
    </row>
    <row r="30" spans="1:28" ht="25.5">
      <c r="A30" s="78">
        <v>9</v>
      </c>
      <c r="B30" s="76" t="s">
        <v>127</v>
      </c>
      <c r="C30" s="87">
        <v>3</v>
      </c>
      <c r="D30" s="169">
        <v>7040</v>
      </c>
      <c r="E30" s="183">
        <v>1.2</v>
      </c>
      <c r="F30" s="169">
        <f t="shared" si="23"/>
        <v>8448</v>
      </c>
      <c r="G30" s="139"/>
      <c r="H30" s="169"/>
      <c r="I30" s="169"/>
      <c r="J30" s="139"/>
      <c r="K30" s="139"/>
      <c r="L30" s="184"/>
      <c r="M30" s="169"/>
      <c r="N30" s="139"/>
      <c r="O30" s="169"/>
      <c r="P30" s="139"/>
      <c r="Q30" s="141"/>
      <c r="R30" s="169">
        <f t="shared" si="16"/>
        <v>8448</v>
      </c>
      <c r="S30" s="141">
        <f t="shared" si="17"/>
        <v>25344</v>
      </c>
      <c r="T30" s="169">
        <f t="shared" si="18"/>
        <v>28186.191891891893</v>
      </c>
      <c r="U30" s="169">
        <f t="shared" si="19"/>
        <v>50688</v>
      </c>
      <c r="V30" s="169">
        <f t="shared" si="26"/>
        <v>29596.512000000002</v>
      </c>
      <c r="W30" s="141"/>
      <c r="X30" s="169">
        <f t="shared" si="20"/>
        <v>285878.70389189187</v>
      </c>
      <c r="Y30" s="169">
        <f t="shared" si="21"/>
        <v>40570.396421351346</v>
      </c>
      <c r="Z30" s="169">
        <f t="shared" si="22"/>
        <v>326449.10031324322</v>
      </c>
    </row>
    <row r="31" spans="1:28" ht="25.5">
      <c r="A31" s="78">
        <v>10</v>
      </c>
      <c r="B31" s="76" t="s">
        <v>128</v>
      </c>
      <c r="C31" s="87">
        <v>1</v>
      </c>
      <c r="D31" s="169">
        <v>7040</v>
      </c>
      <c r="E31" s="183">
        <v>1.2</v>
      </c>
      <c r="F31" s="169">
        <f t="shared" si="23"/>
        <v>8448</v>
      </c>
      <c r="G31" s="139"/>
      <c r="H31" s="169"/>
      <c r="I31" s="169"/>
      <c r="J31" s="139"/>
      <c r="K31" s="139"/>
      <c r="L31" s="184"/>
      <c r="M31" s="169"/>
      <c r="N31" s="139"/>
      <c r="O31" s="169"/>
      <c r="P31" s="139"/>
      <c r="Q31" s="141"/>
      <c r="R31" s="169">
        <f t="shared" si="16"/>
        <v>8448</v>
      </c>
      <c r="S31" s="141">
        <f t="shared" si="17"/>
        <v>8448</v>
      </c>
      <c r="T31" s="169">
        <f t="shared" si="18"/>
        <v>9395.397297297297</v>
      </c>
      <c r="U31" s="169">
        <f t="shared" si="19"/>
        <v>16896</v>
      </c>
      <c r="V31" s="169">
        <f t="shared" si="26"/>
        <v>9865.5040000000008</v>
      </c>
      <c r="W31" s="141"/>
      <c r="X31" s="169">
        <f t="shared" si="20"/>
        <v>95292.9012972973</v>
      </c>
      <c r="Y31" s="169">
        <f t="shared" si="21"/>
        <v>13523.465473783783</v>
      </c>
      <c r="Z31" s="169">
        <f t="shared" si="22"/>
        <v>108816.36677108108</v>
      </c>
    </row>
    <row r="32" spans="1:28" ht="25.5">
      <c r="A32" s="78">
        <v>11</v>
      </c>
      <c r="B32" s="76" t="s">
        <v>86</v>
      </c>
      <c r="C32" s="87">
        <v>9</v>
      </c>
      <c r="D32" s="169">
        <v>7040</v>
      </c>
      <c r="E32" s="183">
        <v>1.2</v>
      </c>
      <c r="F32" s="169">
        <f t="shared" si="23"/>
        <v>8448</v>
      </c>
      <c r="G32" s="139"/>
      <c r="H32" s="169"/>
      <c r="I32" s="169"/>
      <c r="J32" s="139"/>
      <c r="K32" s="139"/>
      <c r="L32" s="184">
        <v>0.5</v>
      </c>
      <c r="M32" s="169">
        <f t="shared" si="24"/>
        <v>3520</v>
      </c>
      <c r="N32" s="139"/>
      <c r="O32" s="169"/>
      <c r="P32" s="139"/>
      <c r="Q32" s="141"/>
      <c r="R32" s="169">
        <f t="shared" si="16"/>
        <v>11968</v>
      </c>
      <c r="S32" s="141">
        <f t="shared" si="17"/>
        <v>107712</v>
      </c>
      <c r="T32" s="169">
        <f t="shared" si="18"/>
        <v>119791.31554054053</v>
      </c>
      <c r="U32" s="169">
        <f t="shared" si="19"/>
        <v>215424</v>
      </c>
      <c r="V32" s="169">
        <f t="shared" si="26"/>
        <v>125785.17599999999</v>
      </c>
      <c r="W32" s="141"/>
      <c r="X32" s="169">
        <f t="shared" si="20"/>
        <v>1214984.4915405405</v>
      </c>
      <c r="Y32" s="169">
        <f t="shared" si="21"/>
        <v>172424.18479074322</v>
      </c>
      <c r="Z32" s="169">
        <f t="shared" si="22"/>
        <v>1387408.6763312838</v>
      </c>
    </row>
    <row r="33" spans="1:27">
      <c r="A33" s="78">
        <v>12</v>
      </c>
      <c r="B33" s="76" t="s">
        <v>199</v>
      </c>
      <c r="C33" s="87">
        <v>2</v>
      </c>
      <c r="D33" s="169">
        <v>7040</v>
      </c>
      <c r="E33" s="183">
        <v>1.2</v>
      </c>
      <c r="F33" s="169">
        <f t="shared" si="23"/>
        <v>8448</v>
      </c>
      <c r="G33" s="139"/>
      <c r="H33" s="169"/>
      <c r="I33" s="169"/>
      <c r="J33" s="139"/>
      <c r="K33" s="139"/>
      <c r="L33" s="184">
        <v>0.25</v>
      </c>
      <c r="M33" s="169">
        <f t="shared" si="24"/>
        <v>1760</v>
      </c>
      <c r="N33" s="139"/>
      <c r="O33" s="169">
        <v>8000</v>
      </c>
      <c r="P33" s="139"/>
      <c r="Q33" s="141"/>
      <c r="R33" s="169">
        <f t="shared" si="16"/>
        <v>18208</v>
      </c>
      <c r="S33" s="141">
        <f t="shared" si="17"/>
        <v>36416</v>
      </c>
      <c r="T33" s="169">
        <f t="shared" si="18"/>
        <v>40499.856531531528</v>
      </c>
      <c r="U33" s="169">
        <f t="shared" si="19"/>
        <v>72832</v>
      </c>
      <c r="V33" s="169">
        <f t="shared" si="26"/>
        <v>42526.301333333337</v>
      </c>
      <c r="W33" s="141"/>
      <c r="X33" s="169">
        <f t="shared" si="20"/>
        <v>410770.15786486492</v>
      </c>
      <c r="Y33" s="169">
        <f t="shared" si="21"/>
        <v>58294.332231689194</v>
      </c>
      <c r="Z33" s="169">
        <f t="shared" si="22"/>
        <v>469064.4900965541</v>
      </c>
    </row>
    <row r="34" spans="1:27">
      <c r="A34" s="78">
        <v>13</v>
      </c>
      <c r="B34" s="76" t="s">
        <v>200</v>
      </c>
      <c r="C34" s="87">
        <v>3</v>
      </c>
      <c r="D34" s="169">
        <v>7040</v>
      </c>
      <c r="E34" s="183">
        <v>1.2</v>
      </c>
      <c r="F34" s="169">
        <f t="shared" si="23"/>
        <v>8448</v>
      </c>
      <c r="G34" s="139"/>
      <c r="H34" s="169"/>
      <c r="I34" s="169"/>
      <c r="J34" s="139"/>
      <c r="K34" s="139"/>
      <c r="L34" s="89">
        <v>0.5</v>
      </c>
      <c r="M34" s="169">
        <f t="shared" si="24"/>
        <v>3520</v>
      </c>
      <c r="N34" s="139"/>
      <c r="O34" s="169">
        <v>5000</v>
      </c>
      <c r="P34" s="139"/>
      <c r="Q34" s="141"/>
      <c r="R34" s="169">
        <f t="shared" si="16"/>
        <v>16968</v>
      </c>
      <c r="S34" s="141">
        <f t="shared" ref="S34" si="27">R34*C34</f>
        <v>50904</v>
      </c>
      <c r="T34" s="169">
        <f t="shared" si="18"/>
        <v>56612.607010135129</v>
      </c>
      <c r="U34" s="169">
        <f t="shared" si="19"/>
        <v>101808</v>
      </c>
      <c r="V34" s="169">
        <f t="shared" si="26"/>
        <v>59445.267</v>
      </c>
      <c r="W34" s="141"/>
      <c r="X34" s="169">
        <f t="shared" si="20"/>
        <v>574193.87401013519</v>
      </c>
      <c r="Y34" s="169">
        <f t="shared" si="21"/>
        <v>81486.563266748301</v>
      </c>
      <c r="Z34" s="169">
        <f t="shared" si="22"/>
        <v>655680.43727688352</v>
      </c>
    </row>
    <row r="35" spans="1:27" s="182" customFormat="1">
      <c r="A35" s="125"/>
      <c r="B35" s="19" t="s">
        <v>196</v>
      </c>
      <c r="C35" s="185">
        <f>SUM(C23:C34)</f>
        <v>29</v>
      </c>
      <c r="D35" s="132"/>
      <c r="E35" s="186"/>
      <c r="F35" s="132"/>
      <c r="G35" s="187"/>
      <c r="H35" s="132">
        <f>SUM(H23:H34)</f>
        <v>0</v>
      </c>
      <c r="I35" s="132"/>
      <c r="J35" s="143">
        <f>SUM(J23:J34)</f>
        <v>0</v>
      </c>
      <c r="K35" s="143">
        <f>SUM(K23:K34)</f>
        <v>0</v>
      </c>
      <c r="L35" s="143"/>
      <c r="M35" s="132">
        <f>SUM(M23:M34)</f>
        <v>19360</v>
      </c>
      <c r="N35" s="143"/>
      <c r="O35" s="132">
        <f>SUM(O23:O34)</f>
        <v>33000</v>
      </c>
      <c r="P35" s="143"/>
      <c r="Q35" s="143"/>
      <c r="R35" s="132">
        <f t="shared" ref="R35:Z35" si="28">SUM(R23:R34)</f>
        <v>145288</v>
      </c>
      <c r="S35" s="132">
        <f t="shared" si="28"/>
        <v>387412</v>
      </c>
      <c r="T35" s="132">
        <f t="shared" si="28"/>
        <v>430858.15077421168</v>
      </c>
      <c r="U35" s="132">
        <f t="shared" si="28"/>
        <v>774824</v>
      </c>
      <c r="V35" s="132">
        <f t="shared" si="28"/>
        <v>438463.73033333337</v>
      </c>
      <c r="W35" s="132">
        <f t="shared" si="28"/>
        <v>0</v>
      </c>
      <c r="X35" s="132">
        <f t="shared" si="28"/>
        <v>4356029.8811075445</v>
      </c>
      <c r="Y35" s="132">
        <f t="shared" si="28"/>
        <v>617758.01449105155</v>
      </c>
      <c r="Z35" s="132">
        <f t="shared" si="28"/>
        <v>4973787.895598596</v>
      </c>
      <c r="AA35" s="181"/>
    </row>
    <row r="36" spans="1:27">
      <c r="A36" s="188"/>
      <c r="B36" s="147"/>
      <c r="C36" s="189"/>
      <c r="D36" s="189"/>
      <c r="E36" s="189"/>
      <c r="F36" s="150"/>
      <c r="G36" s="189"/>
      <c r="H36" s="150"/>
      <c r="I36" s="189"/>
      <c r="J36" s="189"/>
      <c r="K36" s="189"/>
      <c r="L36" s="189"/>
      <c r="M36" s="150"/>
      <c r="N36" s="189"/>
      <c r="O36" s="189"/>
      <c r="P36" s="189"/>
      <c r="Q36" s="189"/>
      <c r="R36" s="150"/>
      <c r="S36" s="150"/>
      <c r="U36" s="150"/>
      <c r="V36" s="150"/>
      <c r="W36" s="150"/>
      <c r="X36" s="150"/>
      <c r="Y36" s="150"/>
      <c r="Z36" s="150"/>
    </row>
    <row r="39" spans="1:27">
      <c r="B39" s="451" t="s">
        <v>526</v>
      </c>
      <c r="C39" s="450"/>
      <c r="D39" s="450"/>
      <c r="E39" s="450"/>
      <c r="F39" s="450"/>
      <c r="G39" s="450"/>
      <c r="H39" s="450"/>
      <c r="I39" s="450"/>
      <c r="J39" s="450"/>
      <c r="K39" s="450"/>
      <c r="L39" s="450"/>
      <c r="M39" s="450"/>
      <c r="N39" s="450"/>
      <c r="O39" s="450"/>
      <c r="P39" s="450"/>
      <c r="Q39" s="450"/>
      <c r="R39" s="450"/>
      <c r="S39" s="450"/>
      <c r="T39" s="450"/>
      <c r="U39" s="450"/>
      <c r="V39" s="450"/>
      <c r="W39" s="450"/>
      <c r="X39" s="450"/>
      <c r="Y39" s="450"/>
    </row>
  </sheetData>
  <mergeCells count="27">
    <mergeCell ref="B39:Y39"/>
    <mergeCell ref="Y1:Z1"/>
    <mergeCell ref="Y6:Y7"/>
    <mergeCell ref="Z6:Z7"/>
    <mergeCell ref="G7:H7"/>
    <mergeCell ref="J7:K7"/>
    <mergeCell ref="L7:M7"/>
    <mergeCell ref="N7:O7"/>
    <mergeCell ref="P7:Q7"/>
    <mergeCell ref="G6:Q6"/>
    <mergeCell ref="R6:R7"/>
    <mergeCell ref="S6:S7"/>
    <mergeCell ref="T6:T7"/>
    <mergeCell ref="U6:U7"/>
    <mergeCell ref="V6:V7"/>
    <mergeCell ref="A23:Z23"/>
    <mergeCell ref="A10:Z10"/>
    <mergeCell ref="A3:Z3"/>
    <mergeCell ref="E4:V4"/>
    <mergeCell ref="A6:A8"/>
    <mergeCell ref="B6:B8"/>
    <mergeCell ref="C6:C8"/>
    <mergeCell ref="D6:D8"/>
    <mergeCell ref="E6:E8"/>
    <mergeCell ref="F6:F8"/>
    <mergeCell ref="W6:W7"/>
    <mergeCell ref="X6:X7"/>
  </mergeCells>
  <pageMargins left="0" right="0" top="0.74803149606299213" bottom="0.74803149606299213" header="0.31496062992125984" footer="0.31496062992125984"/>
  <pageSetup paperSize="9" scale="75" fitToHeight="0" orientation="landscape" verticalDpi="360" r:id="rId1"/>
  <rowBreaks count="1" manualBreakCount="1">
    <brk id="22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C000"/>
    <pageSetUpPr fitToPage="1"/>
  </sheetPr>
  <dimension ref="A1:AF47"/>
  <sheetViews>
    <sheetView view="pageBreakPreview" topLeftCell="A11" zoomScaleNormal="100" zoomScaleSheetLayoutView="100" workbookViewId="0">
      <selection activeCell="X45" sqref="X45:Z45"/>
    </sheetView>
  </sheetViews>
  <sheetFormatPr defaultColWidth="9.28515625" defaultRowHeight="12.75"/>
  <cols>
    <col min="1" max="1" width="4.28515625" style="64" customWidth="1"/>
    <col min="2" max="2" width="15.28515625" style="64" customWidth="1"/>
    <col min="3" max="3" width="4.28515625" style="64" customWidth="1"/>
    <col min="4" max="4" width="6.85546875" style="64" customWidth="1"/>
    <col min="5" max="5" width="5.5703125" style="64" customWidth="1"/>
    <col min="6" max="6" width="7.28515625" style="64" customWidth="1"/>
    <col min="7" max="7" width="5.28515625" style="64" customWidth="1"/>
    <col min="8" max="8" width="8" style="64" customWidth="1"/>
    <col min="9" max="9" width="10.42578125" style="64" hidden="1" customWidth="1"/>
    <col min="10" max="10" width="9.7109375" style="64" hidden="1" customWidth="1"/>
    <col min="11" max="11" width="11.5703125" style="64" hidden="1" customWidth="1"/>
    <col min="12" max="12" width="9.28515625" style="64" hidden="1" customWidth="1"/>
    <col min="13" max="13" width="12.42578125" style="64" hidden="1" customWidth="1"/>
    <col min="14" max="14" width="4.42578125" style="64" customWidth="1"/>
    <col min="15" max="15" width="8.28515625" style="64" customWidth="1"/>
    <col min="16" max="16" width="5.28515625" style="64" customWidth="1"/>
    <col min="17" max="17" width="6.7109375" style="64" customWidth="1"/>
    <col min="18" max="18" width="9.85546875" style="64" customWidth="1"/>
    <col min="19" max="19" width="10.28515625" style="64" customWidth="1"/>
    <col min="20" max="22" width="8" style="64" hidden="1" customWidth="1"/>
    <col min="23" max="23" width="7.28515625" style="64" customWidth="1"/>
    <col min="24" max="24" width="8.42578125" style="64" customWidth="1"/>
    <col min="25" max="25" width="10.28515625" style="64" customWidth="1"/>
    <col min="26" max="26" width="10" style="64" customWidth="1"/>
    <col min="27" max="27" width="10.140625" style="64" customWidth="1"/>
    <col min="28" max="28" width="10.85546875" style="64" customWidth="1"/>
    <col min="29" max="250" width="9.28515625" style="64"/>
    <col min="251" max="251" width="5" style="64" bestFit="1" customWidth="1"/>
    <col min="252" max="252" width="26.5703125" style="64" customWidth="1"/>
    <col min="253" max="254" width="9.7109375" style="64" customWidth="1"/>
    <col min="255" max="256" width="6.5703125" style="64" customWidth="1"/>
    <col min="257" max="257" width="11" style="64" customWidth="1"/>
    <col min="258" max="258" width="8" style="64" customWidth="1"/>
    <col min="259" max="259" width="8.7109375" style="64" customWidth="1"/>
    <col min="260" max="260" width="9.7109375" style="64" customWidth="1"/>
    <col min="261" max="261" width="11.5703125" style="64" customWidth="1"/>
    <col min="262" max="262" width="0" style="64" hidden="1" customWidth="1"/>
    <col min="263" max="263" width="12.42578125" style="64" customWidth="1"/>
    <col min="264" max="264" width="11.7109375" style="64" customWidth="1"/>
    <col min="265" max="265" width="11.42578125" style="64" customWidth="1"/>
    <col min="266" max="266" width="13.28515625" style="64" customWidth="1"/>
    <col min="267" max="267" width="11.5703125" style="64" bestFit="1" customWidth="1"/>
    <col min="268" max="506" width="9.28515625" style="64"/>
    <col min="507" max="507" width="5" style="64" bestFit="1" customWidth="1"/>
    <col min="508" max="508" width="26.5703125" style="64" customWidth="1"/>
    <col min="509" max="510" width="9.7109375" style="64" customWidth="1"/>
    <col min="511" max="512" width="6.5703125" style="64" customWidth="1"/>
    <col min="513" max="513" width="11" style="64" customWidth="1"/>
    <col min="514" max="514" width="8" style="64" customWidth="1"/>
    <col min="515" max="515" width="8.7109375" style="64" customWidth="1"/>
    <col min="516" max="516" width="9.7109375" style="64" customWidth="1"/>
    <col min="517" max="517" width="11.5703125" style="64" customWidth="1"/>
    <col min="518" max="518" width="0" style="64" hidden="1" customWidth="1"/>
    <col min="519" max="519" width="12.42578125" style="64" customWidth="1"/>
    <col min="520" max="520" width="11.7109375" style="64" customWidth="1"/>
    <col min="521" max="521" width="11.42578125" style="64" customWidth="1"/>
    <col min="522" max="522" width="13.28515625" style="64" customWidth="1"/>
    <col min="523" max="523" width="11.5703125" style="64" bestFit="1" customWidth="1"/>
    <col min="524" max="762" width="9.28515625" style="64"/>
    <col min="763" max="763" width="5" style="64" bestFit="1" customWidth="1"/>
    <col min="764" max="764" width="26.5703125" style="64" customWidth="1"/>
    <col min="765" max="766" width="9.7109375" style="64" customWidth="1"/>
    <col min="767" max="768" width="6.5703125" style="64" customWidth="1"/>
    <col min="769" max="769" width="11" style="64" customWidth="1"/>
    <col min="770" max="770" width="8" style="64" customWidth="1"/>
    <col min="771" max="771" width="8.7109375" style="64" customWidth="1"/>
    <col min="772" max="772" width="9.7109375" style="64" customWidth="1"/>
    <col min="773" max="773" width="11.5703125" style="64" customWidth="1"/>
    <col min="774" max="774" width="0" style="64" hidden="1" customWidth="1"/>
    <col min="775" max="775" width="12.42578125" style="64" customWidth="1"/>
    <col min="776" max="776" width="11.7109375" style="64" customWidth="1"/>
    <col min="777" max="777" width="11.42578125" style="64" customWidth="1"/>
    <col min="778" max="778" width="13.28515625" style="64" customWidth="1"/>
    <col min="779" max="779" width="11.5703125" style="64" bestFit="1" customWidth="1"/>
    <col min="780" max="1018" width="9.28515625" style="64"/>
    <col min="1019" max="1019" width="5" style="64" bestFit="1" customWidth="1"/>
    <col min="1020" max="1020" width="26.5703125" style="64" customWidth="1"/>
    <col min="1021" max="1022" width="9.7109375" style="64" customWidth="1"/>
    <col min="1023" max="1024" width="6.5703125" style="64" customWidth="1"/>
    <col min="1025" max="1025" width="11" style="64" customWidth="1"/>
    <col min="1026" max="1026" width="8" style="64" customWidth="1"/>
    <col min="1027" max="1027" width="8.7109375" style="64" customWidth="1"/>
    <col min="1028" max="1028" width="9.7109375" style="64" customWidth="1"/>
    <col min="1029" max="1029" width="11.5703125" style="64" customWidth="1"/>
    <col min="1030" max="1030" width="0" style="64" hidden="1" customWidth="1"/>
    <col min="1031" max="1031" width="12.42578125" style="64" customWidth="1"/>
    <col min="1032" max="1032" width="11.7109375" style="64" customWidth="1"/>
    <col min="1033" max="1033" width="11.42578125" style="64" customWidth="1"/>
    <col min="1034" max="1034" width="13.28515625" style="64" customWidth="1"/>
    <col min="1035" max="1035" width="11.5703125" style="64" bestFit="1" customWidth="1"/>
    <col min="1036" max="1274" width="9.28515625" style="64"/>
    <col min="1275" max="1275" width="5" style="64" bestFit="1" customWidth="1"/>
    <col min="1276" max="1276" width="26.5703125" style="64" customWidth="1"/>
    <col min="1277" max="1278" width="9.7109375" style="64" customWidth="1"/>
    <col min="1279" max="1280" width="6.5703125" style="64" customWidth="1"/>
    <col min="1281" max="1281" width="11" style="64" customWidth="1"/>
    <col min="1282" max="1282" width="8" style="64" customWidth="1"/>
    <col min="1283" max="1283" width="8.7109375" style="64" customWidth="1"/>
    <col min="1284" max="1284" width="9.7109375" style="64" customWidth="1"/>
    <col min="1285" max="1285" width="11.5703125" style="64" customWidth="1"/>
    <col min="1286" max="1286" width="0" style="64" hidden="1" customWidth="1"/>
    <col min="1287" max="1287" width="12.42578125" style="64" customWidth="1"/>
    <col min="1288" max="1288" width="11.7109375" style="64" customWidth="1"/>
    <col min="1289" max="1289" width="11.42578125" style="64" customWidth="1"/>
    <col min="1290" max="1290" width="13.28515625" style="64" customWidth="1"/>
    <col min="1291" max="1291" width="11.5703125" style="64" bestFit="1" customWidth="1"/>
    <col min="1292" max="1530" width="9.28515625" style="64"/>
    <col min="1531" max="1531" width="5" style="64" bestFit="1" customWidth="1"/>
    <col min="1532" max="1532" width="26.5703125" style="64" customWidth="1"/>
    <col min="1533" max="1534" width="9.7109375" style="64" customWidth="1"/>
    <col min="1535" max="1536" width="6.5703125" style="64" customWidth="1"/>
    <col min="1537" max="1537" width="11" style="64" customWidth="1"/>
    <col min="1538" max="1538" width="8" style="64" customWidth="1"/>
    <col min="1539" max="1539" width="8.7109375" style="64" customWidth="1"/>
    <col min="1540" max="1540" width="9.7109375" style="64" customWidth="1"/>
    <col min="1541" max="1541" width="11.5703125" style="64" customWidth="1"/>
    <col min="1542" max="1542" width="0" style="64" hidden="1" customWidth="1"/>
    <col min="1543" max="1543" width="12.42578125" style="64" customWidth="1"/>
    <col min="1544" max="1544" width="11.7109375" style="64" customWidth="1"/>
    <col min="1545" max="1545" width="11.42578125" style="64" customWidth="1"/>
    <col min="1546" max="1546" width="13.28515625" style="64" customWidth="1"/>
    <col min="1547" max="1547" width="11.5703125" style="64" bestFit="1" customWidth="1"/>
    <col min="1548" max="1786" width="9.28515625" style="64"/>
    <col min="1787" max="1787" width="5" style="64" bestFit="1" customWidth="1"/>
    <col min="1788" max="1788" width="26.5703125" style="64" customWidth="1"/>
    <col min="1789" max="1790" width="9.7109375" style="64" customWidth="1"/>
    <col min="1791" max="1792" width="6.5703125" style="64" customWidth="1"/>
    <col min="1793" max="1793" width="11" style="64" customWidth="1"/>
    <col min="1794" max="1794" width="8" style="64" customWidth="1"/>
    <col min="1795" max="1795" width="8.7109375" style="64" customWidth="1"/>
    <col min="1796" max="1796" width="9.7109375" style="64" customWidth="1"/>
    <col min="1797" max="1797" width="11.5703125" style="64" customWidth="1"/>
    <col min="1798" max="1798" width="0" style="64" hidden="1" customWidth="1"/>
    <col min="1799" max="1799" width="12.42578125" style="64" customWidth="1"/>
    <col min="1800" max="1800" width="11.7109375" style="64" customWidth="1"/>
    <col min="1801" max="1801" width="11.42578125" style="64" customWidth="1"/>
    <col min="1802" max="1802" width="13.28515625" style="64" customWidth="1"/>
    <col min="1803" max="1803" width="11.5703125" style="64" bestFit="1" customWidth="1"/>
    <col min="1804" max="2042" width="9.28515625" style="64"/>
    <col min="2043" max="2043" width="5" style="64" bestFit="1" customWidth="1"/>
    <col min="2044" max="2044" width="26.5703125" style="64" customWidth="1"/>
    <col min="2045" max="2046" width="9.7109375" style="64" customWidth="1"/>
    <col min="2047" max="2048" width="6.5703125" style="64" customWidth="1"/>
    <col min="2049" max="2049" width="11" style="64" customWidth="1"/>
    <col min="2050" max="2050" width="8" style="64" customWidth="1"/>
    <col min="2051" max="2051" width="8.7109375" style="64" customWidth="1"/>
    <col min="2052" max="2052" width="9.7109375" style="64" customWidth="1"/>
    <col min="2053" max="2053" width="11.5703125" style="64" customWidth="1"/>
    <col min="2054" max="2054" width="0" style="64" hidden="1" customWidth="1"/>
    <col min="2055" max="2055" width="12.42578125" style="64" customWidth="1"/>
    <col min="2056" max="2056" width="11.7109375" style="64" customWidth="1"/>
    <col min="2057" max="2057" width="11.42578125" style="64" customWidth="1"/>
    <col min="2058" max="2058" width="13.28515625" style="64" customWidth="1"/>
    <col min="2059" max="2059" width="11.5703125" style="64" bestFit="1" customWidth="1"/>
    <col min="2060" max="2298" width="9.28515625" style="64"/>
    <col min="2299" max="2299" width="5" style="64" bestFit="1" customWidth="1"/>
    <col min="2300" max="2300" width="26.5703125" style="64" customWidth="1"/>
    <col min="2301" max="2302" width="9.7109375" style="64" customWidth="1"/>
    <col min="2303" max="2304" width="6.5703125" style="64" customWidth="1"/>
    <col min="2305" max="2305" width="11" style="64" customWidth="1"/>
    <col min="2306" max="2306" width="8" style="64" customWidth="1"/>
    <col min="2307" max="2307" width="8.7109375" style="64" customWidth="1"/>
    <col min="2308" max="2308" width="9.7109375" style="64" customWidth="1"/>
    <col min="2309" max="2309" width="11.5703125" style="64" customWidth="1"/>
    <col min="2310" max="2310" width="0" style="64" hidden="1" customWidth="1"/>
    <col min="2311" max="2311" width="12.42578125" style="64" customWidth="1"/>
    <col min="2312" max="2312" width="11.7109375" style="64" customWidth="1"/>
    <col min="2313" max="2313" width="11.42578125" style="64" customWidth="1"/>
    <col min="2314" max="2314" width="13.28515625" style="64" customWidth="1"/>
    <col min="2315" max="2315" width="11.5703125" style="64" bestFit="1" customWidth="1"/>
    <col min="2316" max="2554" width="9.28515625" style="64"/>
    <col min="2555" max="2555" width="5" style="64" bestFit="1" customWidth="1"/>
    <col min="2556" max="2556" width="26.5703125" style="64" customWidth="1"/>
    <col min="2557" max="2558" width="9.7109375" style="64" customWidth="1"/>
    <col min="2559" max="2560" width="6.5703125" style="64" customWidth="1"/>
    <col min="2561" max="2561" width="11" style="64" customWidth="1"/>
    <col min="2562" max="2562" width="8" style="64" customWidth="1"/>
    <col min="2563" max="2563" width="8.7109375" style="64" customWidth="1"/>
    <col min="2564" max="2564" width="9.7109375" style="64" customWidth="1"/>
    <col min="2565" max="2565" width="11.5703125" style="64" customWidth="1"/>
    <col min="2566" max="2566" width="0" style="64" hidden="1" customWidth="1"/>
    <col min="2567" max="2567" width="12.42578125" style="64" customWidth="1"/>
    <col min="2568" max="2568" width="11.7109375" style="64" customWidth="1"/>
    <col min="2569" max="2569" width="11.42578125" style="64" customWidth="1"/>
    <col min="2570" max="2570" width="13.28515625" style="64" customWidth="1"/>
    <col min="2571" max="2571" width="11.5703125" style="64" bestFit="1" customWidth="1"/>
    <col min="2572" max="2810" width="9.28515625" style="64"/>
    <col min="2811" max="2811" width="5" style="64" bestFit="1" customWidth="1"/>
    <col min="2812" max="2812" width="26.5703125" style="64" customWidth="1"/>
    <col min="2813" max="2814" width="9.7109375" style="64" customWidth="1"/>
    <col min="2815" max="2816" width="6.5703125" style="64" customWidth="1"/>
    <col min="2817" max="2817" width="11" style="64" customWidth="1"/>
    <col min="2818" max="2818" width="8" style="64" customWidth="1"/>
    <col min="2819" max="2819" width="8.7109375" style="64" customWidth="1"/>
    <col min="2820" max="2820" width="9.7109375" style="64" customWidth="1"/>
    <col min="2821" max="2821" width="11.5703125" style="64" customWidth="1"/>
    <col min="2822" max="2822" width="0" style="64" hidden="1" customWidth="1"/>
    <col min="2823" max="2823" width="12.42578125" style="64" customWidth="1"/>
    <col min="2824" max="2824" width="11.7109375" style="64" customWidth="1"/>
    <col min="2825" max="2825" width="11.42578125" style="64" customWidth="1"/>
    <col min="2826" max="2826" width="13.28515625" style="64" customWidth="1"/>
    <col min="2827" max="2827" width="11.5703125" style="64" bestFit="1" customWidth="1"/>
    <col min="2828" max="3066" width="9.28515625" style="64"/>
    <col min="3067" max="3067" width="5" style="64" bestFit="1" customWidth="1"/>
    <col min="3068" max="3068" width="26.5703125" style="64" customWidth="1"/>
    <col min="3069" max="3070" width="9.7109375" style="64" customWidth="1"/>
    <col min="3071" max="3072" width="6.5703125" style="64" customWidth="1"/>
    <col min="3073" max="3073" width="11" style="64" customWidth="1"/>
    <col min="3074" max="3074" width="8" style="64" customWidth="1"/>
    <col min="3075" max="3075" width="8.7109375" style="64" customWidth="1"/>
    <col min="3076" max="3076" width="9.7109375" style="64" customWidth="1"/>
    <col min="3077" max="3077" width="11.5703125" style="64" customWidth="1"/>
    <col min="3078" max="3078" width="0" style="64" hidden="1" customWidth="1"/>
    <col min="3079" max="3079" width="12.42578125" style="64" customWidth="1"/>
    <col min="3080" max="3080" width="11.7109375" style="64" customWidth="1"/>
    <col min="3081" max="3081" width="11.42578125" style="64" customWidth="1"/>
    <col min="3082" max="3082" width="13.28515625" style="64" customWidth="1"/>
    <col min="3083" max="3083" width="11.5703125" style="64" bestFit="1" customWidth="1"/>
    <col min="3084" max="3322" width="9.28515625" style="64"/>
    <col min="3323" max="3323" width="5" style="64" bestFit="1" customWidth="1"/>
    <col min="3324" max="3324" width="26.5703125" style="64" customWidth="1"/>
    <col min="3325" max="3326" width="9.7109375" style="64" customWidth="1"/>
    <col min="3327" max="3328" width="6.5703125" style="64" customWidth="1"/>
    <col min="3329" max="3329" width="11" style="64" customWidth="1"/>
    <col min="3330" max="3330" width="8" style="64" customWidth="1"/>
    <col min="3331" max="3331" width="8.7109375" style="64" customWidth="1"/>
    <col min="3332" max="3332" width="9.7109375" style="64" customWidth="1"/>
    <col min="3333" max="3333" width="11.5703125" style="64" customWidth="1"/>
    <col min="3334" max="3334" width="0" style="64" hidden="1" customWidth="1"/>
    <col min="3335" max="3335" width="12.42578125" style="64" customWidth="1"/>
    <col min="3336" max="3336" width="11.7109375" style="64" customWidth="1"/>
    <col min="3337" max="3337" width="11.42578125" style="64" customWidth="1"/>
    <col min="3338" max="3338" width="13.28515625" style="64" customWidth="1"/>
    <col min="3339" max="3339" width="11.5703125" style="64" bestFit="1" customWidth="1"/>
    <col min="3340" max="3578" width="9.28515625" style="64"/>
    <col min="3579" max="3579" width="5" style="64" bestFit="1" customWidth="1"/>
    <col min="3580" max="3580" width="26.5703125" style="64" customWidth="1"/>
    <col min="3581" max="3582" width="9.7109375" style="64" customWidth="1"/>
    <col min="3583" max="3584" width="6.5703125" style="64" customWidth="1"/>
    <col min="3585" max="3585" width="11" style="64" customWidth="1"/>
    <col min="3586" max="3586" width="8" style="64" customWidth="1"/>
    <col min="3587" max="3587" width="8.7109375" style="64" customWidth="1"/>
    <col min="3588" max="3588" width="9.7109375" style="64" customWidth="1"/>
    <col min="3589" max="3589" width="11.5703125" style="64" customWidth="1"/>
    <col min="3590" max="3590" width="0" style="64" hidden="1" customWidth="1"/>
    <col min="3591" max="3591" width="12.42578125" style="64" customWidth="1"/>
    <col min="3592" max="3592" width="11.7109375" style="64" customWidth="1"/>
    <col min="3593" max="3593" width="11.42578125" style="64" customWidth="1"/>
    <col min="3594" max="3594" width="13.28515625" style="64" customWidth="1"/>
    <col min="3595" max="3595" width="11.5703125" style="64" bestFit="1" customWidth="1"/>
    <col min="3596" max="3834" width="9.28515625" style="64"/>
    <col min="3835" max="3835" width="5" style="64" bestFit="1" customWidth="1"/>
    <col min="3836" max="3836" width="26.5703125" style="64" customWidth="1"/>
    <col min="3837" max="3838" width="9.7109375" style="64" customWidth="1"/>
    <col min="3839" max="3840" width="6.5703125" style="64" customWidth="1"/>
    <col min="3841" max="3841" width="11" style="64" customWidth="1"/>
    <col min="3842" max="3842" width="8" style="64" customWidth="1"/>
    <col min="3843" max="3843" width="8.7109375" style="64" customWidth="1"/>
    <col min="3844" max="3844" width="9.7109375" style="64" customWidth="1"/>
    <col min="3845" max="3845" width="11.5703125" style="64" customWidth="1"/>
    <col min="3846" max="3846" width="0" style="64" hidden="1" customWidth="1"/>
    <col min="3847" max="3847" width="12.42578125" style="64" customWidth="1"/>
    <col min="3848" max="3848" width="11.7109375" style="64" customWidth="1"/>
    <col min="3849" max="3849" width="11.42578125" style="64" customWidth="1"/>
    <col min="3850" max="3850" width="13.28515625" style="64" customWidth="1"/>
    <col min="3851" max="3851" width="11.5703125" style="64" bestFit="1" customWidth="1"/>
    <col min="3852" max="4090" width="9.28515625" style="64"/>
    <col min="4091" max="4091" width="5" style="64" bestFit="1" customWidth="1"/>
    <col min="4092" max="4092" width="26.5703125" style="64" customWidth="1"/>
    <col min="4093" max="4094" width="9.7109375" style="64" customWidth="1"/>
    <col min="4095" max="4096" width="6.5703125" style="64" customWidth="1"/>
    <col min="4097" max="4097" width="11" style="64" customWidth="1"/>
    <col min="4098" max="4098" width="8" style="64" customWidth="1"/>
    <col min="4099" max="4099" width="8.7109375" style="64" customWidth="1"/>
    <col min="4100" max="4100" width="9.7109375" style="64" customWidth="1"/>
    <col min="4101" max="4101" width="11.5703125" style="64" customWidth="1"/>
    <col min="4102" max="4102" width="0" style="64" hidden="1" customWidth="1"/>
    <col min="4103" max="4103" width="12.42578125" style="64" customWidth="1"/>
    <col min="4104" max="4104" width="11.7109375" style="64" customWidth="1"/>
    <col min="4105" max="4105" width="11.42578125" style="64" customWidth="1"/>
    <col min="4106" max="4106" width="13.28515625" style="64" customWidth="1"/>
    <col min="4107" max="4107" width="11.5703125" style="64" bestFit="1" customWidth="1"/>
    <col min="4108" max="4346" width="9.28515625" style="64"/>
    <col min="4347" max="4347" width="5" style="64" bestFit="1" customWidth="1"/>
    <col min="4348" max="4348" width="26.5703125" style="64" customWidth="1"/>
    <col min="4349" max="4350" width="9.7109375" style="64" customWidth="1"/>
    <col min="4351" max="4352" width="6.5703125" style="64" customWidth="1"/>
    <col min="4353" max="4353" width="11" style="64" customWidth="1"/>
    <col min="4354" max="4354" width="8" style="64" customWidth="1"/>
    <col min="4355" max="4355" width="8.7109375" style="64" customWidth="1"/>
    <col min="4356" max="4356" width="9.7109375" style="64" customWidth="1"/>
    <col min="4357" max="4357" width="11.5703125" style="64" customWidth="1"/>
    <col min="4358" max="4358" width="0" style="64" hidden="1" customWidth="1"/>
    <col min="4359" max="4359" width="12.42578125" style="64" customWidth="1"/>
    <col min="4360" max="4360" width="11.7109375" style="64" customWidth="1"/>
    <col min="4361" max="4361" width="11.42578125" style="64" customWidth="1"/>
    <col min="4362" max="4362" width="13.28515625" style="64" customWidth="1"/>
    <col min="4363" max="4363" width="11.5703125" style="64" bestFit="1" customWidth="1"/>
    <col min="4364" max="4602" width="9.28515625" style="64"/>
    <col min="4603" max="4603" width="5" style="64" bestFit="1" customWidth="1"/>
    <col min="4604" max="4604" width="26.5703125" style="64" customWidth="1"/>
    <col min="4605" max="4606" width="9.7109375" style="64" customWidth="1"/>
    <col min="4607" max="4608" width="6.5703125" style="64" customWidth="1"/>
    <col min="4609" max="4609" width="11" style="64" customWidth="1"/>
    <col min="4610" max="4610" width="8" style="64" customWidth="1"/>
    <col min="4611" max="4611" width="8.7109375" style="64" customWidth="1"/>
    <col min="4612" max="4612" width="9.7109375" style="64" customWidth="1"/>
    <col min="4613" max="4613" width="11.5703125" style="64" customWidth="1"/>
    <col min="4614" max="4614" width="0" style="64" hidden="1" customWidth="1"/>
    <col min="4615" max="4615" width="12.42578125" style="64" customWidth="1"/>
    <col min="4616" max="4616" width="11.7109375" style="64" customWidth="1"/>
    <col min="4617" max="4617" width="11.42578125" style="64" customWidth="1"/>
    <col min="4618" max="4618" width="13.28515625" style="64" customWidth="1"/>
    <col min="4619" max="4619" width="11.5703125" style="64" bestFit="1" customWidth="1"/>
    <col min="4620" max="4858" width="9.28515625" style="64"/>
    <col min="4859" max="4859" width="5" style="64" bestFit="1" customWidth="1"/>
    <col min="4860" max="4860" width="26.5703125" style="64" customWidth="1"/>
    <col min="4861" max="4862" width="9.7109375" style="64" customWidth="1"/>
    <col min="4863" max="4864" width="6.5703125" style="64" customWidth="1"/>
    <col min="4865" max="4865" width="11" style="64" customWidth="1"/>
    <col min="4866" max="4866" width="8" style="64" customWidth="1"/>
    <col min="4867" max="4867" width="8.7109375" style="64" customWidth="1"/>
    <col min="4868" max="4868" width="9.7109375" style="64" customWidth="1"/>
    <col min="4869" max="4869" width="11.5703125" style="64" customWidth="1"/>
    <col min="4870" max="4870" width="0" style="64" hidden="1" customWidth="1"/>
    <col min="4871" max="4871" width="12.42578125" style="64" customWidth="1"/>
    <col min="4872" max="4872" width="11.7109375" style="64" customWidth="1"/>
    <col min="4873" max="4873" width="11.42578125" style="64" customWidth="1"/>
    <col min="4874" max="4874" width="13.28515625" style="64" customWidth="1"/>
    <col min="4875" max="4875" width="11.5703125" style="64" bestFit="1" customWidth="1"/>
    <col min="4876" max="5114" width="9.28515625" style="64"/>
    <col min="5115" max="5115" width="5" style="64" bestFit="1" customWidth="1"/>
    <col min="5116" max="5116" width="26.5703125" style="64" customWidth="1"/>
    <col min="5117" max="5118" width="9.7109375" style="64" customWidth="1"/>
    <col min="5119" max="5120" width="6.5703125" style="64" customWidth="1"/>
    <col min="5121" max="5121" width="11" style="64" customWidth="1"/>
    <col min="5122" max="5122" width="8" style="64" customWidth="1"/>
    <col min="5123" max="5123" width="8.7109375" style="64" customWidth="1"/>
    <col min="5124" max="5124" width="9.7109375" style="64" customWidth="1"/>
    <col min="5125" max="5125" width="11.5703125" style="64" customWidth="1"/>
    <col min="5126" max="5126" width="0" style="64" hidden="1" customWidth="1"/>
    <col min="5127" max="5127" width="12.42578125" style="64" customWidth="1"/>
    <col min="5128" max="5128" width="11.7109375" style="64" customWidth="1"/>
    <col min="5129" max="5129" width="11.42578125" style="64" customWidth="1"/>
    <col min="5130" max="5130" width="13.28515625" style="64" customWidth="1"/>
    <col min="5131" max="5131" width="11.5703125" style="64" bestFit="1" customWidth="1"/>
    <col min="5132" max="5370" width="9.28515625" style="64"/>
    <col min="5371" max="5371" width="5" style="64" bestFit="1" customWidth="1"/>
    <col min="5372" max="5372" width="26.5703125" style="64" customWidth="1"/>
    <col min="5373" max="5374" width="9.7109375" style="64" customWidth="1"/>
    <col min="5375" max="5376" width="6.5703125" style="64" customWidth="1"/>
    <col min="5377" max="5377" width="11" style="64" customWidth="1"/>
    <col min="5378" max="5378" width="8" style="64" customWidth="1"/>
    <col min="5379" max="5379" width="8.7109375" style="64" customWidth="1"/>
    <col min="5380" max="5380" width="9.7109375" style="64" customWidth="1"/>
    <col min="5381" max="5381" width="11.5703125" style="64" customWidth="1"/>
    <col min="5382" max="5382" width="0" style="64" hidden="1" customWidth="1"/>
    <col min="5383" max="5383" width="12.42578125" style="64" customWidth="1"/>
    <col min="5384" max="5384" width="11.7109375" style="64" customWidth="1"/>
    <col min="5385" max="5385" width="11.42578125" style="64" customWidth="1"/>
    <col min="5386" max="5386" width="13.28515625" style="64" customWidth="1"/>
    <col min="5387" max="5387" width="11.5703125" style="64" bestFit="1" customWidth="1"/>
    <col min="5388" max="5626" width="9.28515625" style="64"/>
    <col min="5627" max="5627" width="5" style="64" bestFit="1" customWidth="1"/>
    <col min="5628" max="5628" width="26.5703125" style="64" customWidth="1"/>
    <col min="5629" max="5630" width="9.7109375" style="64" customWidth="1"/>
    <col min="5631" max="5632" width="6.5703125" style="64" customWidth="1"/>
    <col min="5633" max="5633" width="11" style="64" customWidth="1"/>
    <col min="5634" max="5634" width="8" style="64" customWidth="1"/>
    <col min="5635" max="5635" width="8.7109375" style="64" customWidth="1"/>
    <col min="5636" max="5636" width="9.7109375" style="64" customWidth="1"/>
    <col min="5637" max="5637" width="11.5703125" style="64" customWidth="1"/>
    <col min="5638" max="5638" width="0" style="64" hidden="1" customWidth="1"/>
    <col min="5639" max="5639" width="12.42578125" style="64" customWidth="1"/>
    <col min="5640" max="5640" width="11.7109375" style="64" customWidth="1"/>
    <col min="5641" max="5641" width="11.42578125" style="64" customWidth="1"/>
    <col min="5642" max="5642" width="13.28515625" style="64" customWidth="1"/>
    <col min="5643" max="5643" width="11.5703125" style="64" bestFit="1" customWidth="1"/>
    <col min="5644" max="5882" width="9.28515625" style="64"/>
    <col min="5883" max="5883" width="5" style="64" bestFit="1" customWidth="1"/>
    <col min="5884" max="5884" width="26.5703125" style="64" customWidth="1"/>
    <col min="5885" max="5886" width="9.7109375" style="64" customWidth="1"/>
    <col min="5887" max="5888" width="6.5703125" style="64" customWidth="1"/>
    <col min="5889" max="5889" width="11" style="64" customWidth="1"/>
    <col min="5890" max="5890" width="8" style="64" customWidth="1"/>
    <col min="5891" max="5891" width="8.7109375" style="64" customWidth="1"/>
    <col min="5892" max="5892" width="9.7109375" style="64" customWidth="1"/>
    <col min="5893" max="5893" width="11.5703125" style="64" customWidth="1"/>
    <col min="5894" max="5894" width="0" style="64" hidden="1" customWidth="1"/>
    <col min="5895" max="5895" width="12.42578125" style="64" customWidth="1"/>
    <col min="5896" max="5896" width="11.7109375" style="64" customWidth="1"/>
    <col min="5897" max="5897" width="11.42578125" style="64" customWidth="1"/>
    <col min="5898" max="5898" width="13.28515625" style="64" customWidth="1"/>
    <col min="5899" max="5899" width="11.5703125" style="64" bestFit="1" customWidth="1"/>
    <col min="5900" max="6138" width="9.28515625" style="64"/>
    <col min="6139" max="6139" width="5" style="64" bestFit="1" customWidth="1"/>
    <col min="6140" max="6140" width="26.5703125" style="64" customWidth="1"/>
    <col min="6141" max="6142" width="9.7109375" style="64" customWidth="1"/>
    <col min="6143" max="6144" width="6.5703125" style="64" customWidth="1"/>
    <col min="6145" max="6145" width="11" style="64" customWidth="1"/>
    <col min="6146" max="6146" width="8" style="64" customWidth="1"/>
    <col min="6147" max="6147" width="8.7109375" style="64" customWidth="1"/>
    <col min="6148" max="6148" width="9.7109375" style="64" customWidth="1"/>
    <col min="6149" max="6149" width="11.5703125" style="64" customWidth="1"/>
    <col min="6150" max="6150" width="0" style="64" hidden="1" customWidth="1"/>
    <col min="6151" max="6151" width="12.42578125" style="64" customWidth="1"/>
    <col min="6152" max="6152" width="11.7109375" style="64" customWidth="1"/>
    <col min="6153" max="6153" width="11.42578125" style="64" customWidth="1"/>
    <col min="6154" max="6154" width="13.28515625" style="64" customWidth="1"/>
    <col min="6155" max="6155" width="11.5703125" style="64" bestFit="1" customWidth="1"/>
    <col min="6156" max="6394" width="9.28515625" style="64"/>
    <col min="6395" max="6395" width="5" style="64" bestFit="1" customWidth="1"/>
    <col min="6396" max="6396" width="26.5703125" style="64" customWidth="1"/>
    <col min="6397" max="6398" width="9.7109375" style="64" customWidth="1"/>
    <col min="6399" max="6400" width="6.5703125" style="64" customWidth="1"/>
    <col min="6401" max="6401" width="11" style="64" customWidth="1"/>
    <col min="6402" max="6402" width="8" style="64" customWidth="1"/>
    <col min="6403" max="6403" width="8.7109375" style="64" customWidth="1"/>
    <col min="6404" max="6404" width="9.7109375" style="64" customWidth="1"/>
    <col min="6405" max="6405" width="11.5703125" style="64" customWidth="1"/>
    <col min="6406" max="6406" width="0" style="64" hidden="1" customWidth="1"/>
    <col min="6407" max="6407" width="12.42578125" style="64" customWidth="1"/>
    <col min="6408" max="6408" width="11.7109375" style="64" customWidth="1"/>
    <col min="6409" max="6409" width="11.42578125" style="64" customWidth="1"/>
    <col min="6410" max="6410" width="13.28515625" style="64" customWidth="1"/>
    <col min="6411" max="6411" width="11.5703125" style="64" bestFit="1" customWidth="1"/>
    <col min="6412" max="6650" width="9.28515625" style="64"/>
    <col min="6651" max="6651" width="5" style="64" bestFit="1" customWidth="1"/>
    <col min="6652" max="6652" width="26.5703125" style="64" customWidth="1"/>
    <col min="6653" max="6654" width="9.7109375" style="64" customWidth="1"/>
    <col min="6655" max="6656" width="6.5703125" style="64" customWidth="1"/>
    <col min="6657" max="6657" width="11" style="64" customWidth="1"/>
    <col min="6658" max="6658" width="8" style="64" customWidth="1"/>
    <col min="6659" max="6659" width="8.7109375" style="64" customWidth="1"/>
    <col min="6660" max="6660" width="9.7109375" style="64" customWidth="1"/>
    <col min="6661" max="6661" width="11.5703125" style="64" customWidth="1"/>
    <col min="6662" max="6662" width="0" style="64" hidden="1" customWidth="1"/>
    <col min="6663" max="6663" width="12.42578125" style="64" customWidth="1"/>
    <col min="6664" max="6664" width="11.7109375" style="64" customWidth="1"/>
    <col min="6665" max="6665" width="11.42578125" style="64" customWidth="1"/>
    <col min="6666" max="6666" width="13.28515625" style="64" customWidth="1"/>
    <col min="6667" max="6667" width="11.5703125" style="64" bestFit="1" customWidth="1"/>
    <col min="6668" max="6906" width="9.28515625" style="64"/>
    <col min="6907" max="6907" width="5" style="64" bestFit="1" customWidth="1"/>
    <col min="6908" max="6908" width="26.5703125" style="64" customWidth="1"/>
    <col min="6909" max="6910" width="9.7109375" style="64" customWidth="1"/>
    <col min="6911" max="6912" width="6.5703125" style="64" customWidth="1"/>
    <col min="6913" max="6913" width="11" style="64" customWidth="1"/>
    <col min="6914" max="6914" width="8" style="64" customWidth="1"/>
    <col min="6915" max="6915" width="8.7109375" style="64" customWidth="1"/>
    <col min="6916" max="6916" width="9.7109375" style="64" customWidth="1"/>
    <col min="6917" max="6917" width="11.5703125" style="64" customWidth="1"/>
    <col min="6918" max="6918" width="0" style="64" hidden="1" customWidth="1"/>
    <col min="6919" max="6919" width="12.42578125" style="64" customWidth="1"/>
    <col min="6920" max="6920" width="11.7109375" style="64" customWidth="1"/>
    <col min="6921" max="6921" width="11.42578125" style="64" customWidth="1"/>
    <col min="6922" max="6922" width="13.28515625" style="64" customWidth="1"/>
    <col min="6923" max="6923" width="11.5703125" style="64" bestFit="1" customWidth="1"/>
    <col min="6924" max="7162" width="9.28515625" style="64"/>
    <col min="7163" max="7163" width="5" style="64" bestFit="1" customWidth="1"/>
    <col min="7164" max="7164" width="26.5703125" style="64" customWidth="1"/>
    <col min="7165" max="7166" width="9.7109375" style="64" customWidth="1"/>
    <col min="7167" max="7168" width="6.5703125" style="64" customWidth="1"/>
    <col min="7169" max="7169" width="11" style="64" customWidth="1"/>
    <col min="7170" max="7170" width="8" style="64" customWidth="1"/>
    <col min="7171" max="7171" width="8.7109375" style="64" customWidth="1"/>
    <col min="7172" max="7172" width="9.7109375" style="64" customWidth="1"/>
    <col min="7173" max="7173" width="11.5703125" style="64" customWidth="1"/>
    <col min="7174" max="7174" width="0" style="64" hidden="1" customWidth="1"/>
    <col min="7175" max="7175" width="12.42578125" style="64" customWidth="1"/>
    <col min="7176" max="7176" width="11.7109375" style="64" customWidth="1"/>
    <col min="7177" max="7177" width="11.42578125" style="64" customWidth="1"/>
    <col min="7178" max="7178" width="13.28515625" style="64" customWidth="1"/>
    <col min="7179" max="7179" width="11.5703125" style="64" bestFit="1" customWidth="1"/>
    <col min="7180" max="7418" width="9.28515625" style="64"/>
    <col min="7419" max="7419" width="5" style="64" bestFit="1" customWidth="1"/>
    <col min="7420" max="7420" width="26.5703125" style="64" customWidth="1"/>
    <col min="7421" max="7422" width="9.7109375" style="64" customWidth="1"/>
    <col min="7423" max="7424" width="6.5703125" style="64" customWidth="1"/>
    <col min="7425" max="7425" width="11" style="64" customWidth="1"/>
    <col min="7426" max="7426" width="8" style="64" customWidth="1"/>
    <col min="7427" max="7427" width="8.7109375" style="64" customWidth="1"/>
    <col min="7428" max="7428" width="9.7109375" style="64" customWidth="1"/>
    <col min="7429" max="7429" width="11.5703125" style="64" customWidth="1"/>
    <col min="7430" max="7430" width="0" style="64" hidden="1" customWidth="1"/>
    <col min="7431" max="7431" width="12.42578125" style="64" customWidth="1"/>
    <col min="7432" max="7432" width="11.7109375" style="64" customWidth="1"/>
    <col min="7433" max="7433" width="11.42578125" style="64" customWidth="1"/>
    <col min="7434" max="7434" width="13.28515625" style="64" customWidth="1"/>
    <col min="7435" max="7435" width="11.5703125" style="64" bestFit="1" customWidth="1"/>
    <col min="7436" max="7674" width="9.28515625" style="64"/>
    <col min="7675" max="7675" width="5" style="64" bestFit="1" customWidth="1"/>
    <col min="7676" max="7676" width="26.5703125" style="64" customWidth="1"/>
    <col min="7677" max="7678" width="9.7109375" style="64" customWidth="1"/>
    <col min="7679" max="7680" width="6.5703125" style="64" customWidth="1"/>
    <col min="7681" max="7681" width="11" style="64" customWidth="1"/>
    <col min="7682" max="7682" width="8" style="64" customWidth="1"/>
    <col min="7683" max="7683" width="8.7109375" style="64" customWidth="1"/>
    <col min="7684" max="7684" width="9.7109375" style="64" customWidth="1"/>
    <col min="7685" max="7685" width="11.5703125" style="64" customWidth="1"/>
    <col min="7686" max="7686" width="0" style="64" hidden="1" customWidth="1"/>
    <col min="7687" max="7687" width="12.42578125" style="64" customWidth="1"/>
    <col min="7688" max="7688" width="11.7109375" style="64" customWidth="1"/>
    <col min="7689" max="7689" width="11.42578125" style="64" customWidth="1"/>
    <col min="7690" max="7690" width="13.28515625" style="64" customWidth="1"/>
    <col min="7691" max="7691" width="11.5703125" style="64" bestFit="1" customWidth="1"/>
    <col min="7692" max="7930" width="9.28515625" style="64"/>
    <col min="7931" max="7931" width="5" style="64" bestFit="1" customWidth="1"/>
    <col min="7932" max="7932" width="26.5703125" style="64" customWidth="1"/>
    <col min="7933" max="7934" width="9.7109375" style="64" customWidth="1"/>
    <col min="7935" max="7936" width="6.5703125" style="64" customWidth="1"/>
    <col min="7937" max="7937" width="11" style="64" customWidth="1"/>
    <col min="7938" max="7938" width="8" style="64" customWidth="1"/>
    <col min="7939" max="7939" width="8.7109375" style="64" customWidth="1"/>
    <col min="7940" max="7940" width="9.7109375" style="64" customWidth="1"/>
    <col min="7941" max="7941" width="11.5703125" style="64" customWidth="1"/>
    <col min="7942" max="7942" width="0" style="64" hidden="1" customWidth="1"/>
    <col min="7943" max="7943" width="12.42578125" style="64" customWidth="1"/>
    <col min="7944" max="7944" width="11.7109375" style="64" customWidth="1"/>
    <col min="7945" max="7945" width="11.42578125" style="64" customWidth="1"/>
    <col min="7946" max="7946" width="13.28515625" style="64" customWidth="1"/>
    <col min="7947" max="7947" width="11.5703125" style="64" bestFit="1" customWidth="1"/>
    <col min="7948" max="8186" width="9.28515625" style="64"/>
    <col min="8187" max="8187" width="5" style="64" bestFit="1" customWidth="1"/>
    <col min="8188" max="8188" width="26.5703125" style="64" customWidth="1"/>
    <col min="8189" max="8190" width="9.7109375" style="64" customWidth="1"/>
    <col min="8191" max="8192" width="6.5703125" style="64" customWidth="1"/>
    <col min="8193" max="8193" width="11" style="64" customWidth="1"/>
    <col min="8194" max="8194" width="8" style="64" customWidth="1"/>
    <col min="8195" max="8195" width="8.7109375" style="64" customWidth="1"/>
    <col min="8196" max="8196" width="9.7109375" style="64" customWidth="1"/>
    <col min="8197" max="8197" width="11.5703125" style="64" customWidth="1"/>
    <col min="8198" max="8198" width="0" style="64" hidden="1" customWidth="1"/>
    <col min="8199" max="8199" width="12.42578125" style="64" customWidth="1"/>
    <col min="8200" max="8200" width="11.7109375" style="64" customWidth="1"/>
    <col min="8201" max="8201" width="11.42578125" style="64" customWidth="1"/>
    <col min="8202" max="8202" width="13.28515625" style="64" customWidth="1"/>
    <col min="8203" max="8203" width="11.5703125" style="64" bestFit="1" customWidth="1"/>
    <col min="8204" max="8442" width="9.28515625" style="64"/>
    <col min="8443" max="8443" width="5" style="64" bestFit="1" customWidth="1"/>
    <col min="8444" max="8444" width="26.5703125" style="64" customWidth="1"/>
    <col min="8445" max="8446" width="9.7109375" style="64" customWidth="1"/>
    <col min="8447" max="8448" width="6.5703125" style="64" customWidth="1"/>
    <col min="8449" max="8449" width="11" style="64" customWidth="1"/>
    <col min="8450" max="8450" width="8" style="64" customWidth="1"/>
    <col min="8451" max="8451" width="8.7109375" style="64" customWidth="1"/>
    <col min="8452" max="8452" width="9.7109375" style="64" customWidth="1"/>
    <col min="8453" max="8453" width="11.5703125" style="64" customWidth="1"/>
    <col min="8454" max="8454" width="0" style="64" hidden="1" customWidth="1"/>
    <col min="8455" max="8455" width="12.42578125" style="64" customWidth="1"/>
    <col min="8456" max="8456" width="11.7109375" style="64" customWidth="1"/>
    <col min="8457" max="8457" width="11.42578125" style="64" customWidth="1"/>
    <col min="8458" max="8458" width="13.28515625" style="64" customWidth="1"/>
    <col min="8459" max="8459" width="11.5703125" style="64" bestFit="1" customWidth="1"/>
    <col min="8460" max="8698" width="9.28515625" style="64"/>
    <col min="8699" max="8699" width="5" style="64" bestFit="1" customWidth="1"/>
    <col min="8700" max="8700" width="26.5703125" style="64" customWidth="1"/>
    <col min="8701" max="8702" width="9.7109375" style="64" customWidth="1"/>
    <col min="8703" max="8704" width="6.5703125" style="64" customWidth="1"/>
    <col min="8705" max="8705" width="11" style="64" customWidth="1"/>
    <col min="8706" max="8706" width="8" style="64" customWidth="1"/>
    <col min="8707" max="8707" width="8.7109375" style="64" customWidth="1"/>
    <col min="8708" max="8708" width="9.7109375" style="64" customWidth="1"/>
    <col min="8709" max="8709" width="11.5703125" style="64" customWidth="1"/>
    <col min="8710" max="8710" width="0" style="64" hidden="1" customWidth="1"/>
    <col min="8711" max="8711" width="12.42578125" style="64" customWidth="1"/>
    <col min="8712" max="8712" width="11.7109375" style="64" customWidth="1"/>
    <col min="8713" max="8713" width="11.42578125" style="64" customWidth="1"/>
    <col min="8714" max="8714" width="13.28515625" style="64" customWidth="1"/>
    <col min="8715" max="8715" width="11.5703125" style="64" bestFit="1" customWidth="1"/>
    <col min="8716" max="8954" width="9.28515625" style="64"/>
    <col min="8955" max="8955" width="5" style="64" bestFit="1" customWidth="1"/>
    <col min="8956" max="8956" width="26.5703125" style="64" customWidth="1"/>
    <col min="8957" max="8958" width="9.7109375" style="64" customWidth="1"/>
    <col min="8959" max="8960" width="6.5703125" style="64" customWidth="1"/>
    <col min="8961" max="8961" width="11" style="64" customWidth="1"/>
    <col min="8962" max="8962" width="8" style="64" customWidth="1"/>
    <col min="8963" max="8963" width="8.7109375" style="64" customWidth="1"/>
    <col min="8964" max="8964" width="9.7109375" style="64" customWidth="1"/>
    <col min="8965" max="8965" width="11.5703125" style="64" customWidth="1"/>
    <col min="8966" max="8966" width="0" style="64" hidden="1" customWidth="1"/>
    <col min="8967" max="8967" width="12.42578125" style="64" customWidth="1"/>
    <col min="8968" max="8968" width="11.7109375" style="64" customWidth="1"/>
    <col min="8969" max="8969" width="11.42578125" style="64" customWidth="1"/>
    <col min="8970" max="8970" width="13.28515625" style="64" customWidth="1"/>
    <col min="8971" max="8971" width="11.5703125" style="64" bestFit="1" customWidth="1"/>
    <col min="8972" max="9210" width="9.28515625" style="64"/>
    <col min="9211" max="9211" width="5" style="64" bestFit="1" customWidth="1"/>
    <col min="9212" max="9212" width="26.5703125" style="64" customWidth="1"/>
    <col min="9213" max="9214" width="9.7109375" style="64" customWidth="1"/>
    <col min="9215" max="9216" width="6.5703125" style="64" customWidth="1"/>
    <col min="9217" max="9217" width="11" style="64" customWidth="1"/>
    <col min="9218" max="9218" width="8" style="64" customWidth="1"/>
    <col min="9219" max="9219" width="8.7109375" style="64" customWidth="1"/>
    <col min="9220" max="9220" width="9.7109375" style="64" customWidth="1"/>
    <col min="9221" max="9221" width="11.5703125" style="64" customWidth="1"/>
    <col min="9222" max="9222" width="0" style="64" hidden="1" customWidth="1"/>
    <col min="9223" max="9223" width="12.42578125" style="64" customWidth="1"/>
    <col min="9224" max="9224" width="11.7109375" style="64" customWidth="1"/>
    <col min="9225" max="9225" width="11.42578125" style="64" customWidth="1"/>
    <col min="9226" max="9226" width="13.28515625" style="64" customWidth="1"/>
    <col min="9227" max="9227" width="11.5703125" style="64" bestFit="1" customWidth="1"/>
    <col min="9228" max="9466" width="9.28515625" style="64"/>
    <col min="9467" max="9467" width="5" style="64" bestFit="1" customWidth="1"/>
    <col min="9468" max="9468" width="26.5703125" style="64" customWidth="1"/>
    <col min="9469" max="9470" width="9.7109375" style="64" customWidth="1"/>
    <col min="9471" max="9472" width="6.5703125" style="64" customWidth="1"/>
    <col min="9473" max="9473" width="11" style="64" customWidth="1"/>
    <col min="9474" max="9474" width="8" style="64" customWidth="1"/>
    <col min="9475" max="9475" width="8.7109375" style="64" customWidth="1"/>
    <col min="9476" max="9476" width="9.7109375" style="64" customWidth="1"/>
    <col min="9477" max="9477" width="11.5703125" style="64" customWidth="1"/>
    <col min="9478" max="9478" width="0" style="64" hidden="1" customWidth="1"/>
    <col min="9479" max="9479" width="12.42578125" style="64" customWidth="1"/>
    <col min="9480" max="9480" width="11.7109375" style="64" customWidth="1"/>
    <col min="9481" max="9481" width="11.42578125" style="64" customWidth="1"/>
    <col min="9482" max="9482" width="13.28515625" style="64" customWidth="1"/>
    <col min="9483" max="9483" width="11.5703125" style="64" bestFit="1" customWidth="1"/>
    <col min="9484" max="9722" width="9.28515625" style="64"/>
    <col min="9723" max="9723" width="5" style="64" bestFit="1" customWidth="1"/>
    <col min="9724" max="9724" width="26.5703125" style="64" customWidth="1"/>
    <col min="9725" max="9726" width="9.7109375" style="64" customWidth="1"/>
    <col min="9727" max="9728" width="6.5703125" style="64" customWidth="1"/>
    <col min="9729" max="9729" width="11" style="64" customWidth="1"/>
    <col min="9730" max="9730" width="8" style="64" customWidth="1"/>
    <col min="9731" max="9731" width="8.7109375" style="64" customWidth="1"/>
    <col min="9732" max="9732" width="9.7109375" style="64" customWidth="1"/>
    <col min="9733" max="9733" width="11.5703125" style="64" customWidth="1"/>
    <col min="9734" max="9734" width="0" style="64" hidden="1" customWidth="1"/>
    <col min="9735" max="9735" width="12.42578125" style="64" customWidth="1"/>
    <col min="9736" max="9736" width="11.7109375" style="64" customWidth="1"/>
    <col min="9737" max="9737" width="11.42578125" style="64" customWidth="1"/>
    <col min="9738" max="9738" width="13.28515625" style="64" customWidth="1"/>
    <col min="9739" max="9739" width="11.5703125" style="64" bestFit="1" customWidth="1"/>
    <col min="9740" max="9978" width="9.28515625" style="64"/>
    <col min="9979" max="9979" width="5" style="64" bestFit="1" customWidth="1"/>
    <col min="9980" max="9980" width="26.5703125" style="64" customWidth="1"/>
    <col min="9981" max="9982" width="9.7109375" style="64" customWidth="1"/>
    <col min="9983" max="9984" width="6.5703125" style="64" customWidth="1"/>
    <col min="9985" max="9985" width="11" style="64" customWidth="1"/>
    <col min="9986" max="9986" width="8" style="64" customWidth="1"/>
    <col min="9987" max="9987" width="8.7109375" style="64" customWidth="1"/>
    <col min="9988" max="9988" width="9.7109375" style="64" customWidth="1"/>
    <col min="9989" max="9989" width="11.5703125" style="64" customWidth="1"/>
    <col min="9990" max="9990" width="0" style="64" hidden="1" customWidth="1"/>
    <col min="9991" max="9991" width="12.42578125" style="64" customWidth="1"/>
    <col min="9992" max="9992" width="11.7109375" style="64" customWidth="1"/>
    <col min="9993" max="9993" width="11.42578125" style="64" customWidth="1"/>
    <col min="9994" max="9994" width="13.28515625" style="64" customWidth="1"/>
    <col min="9995" max="9995" width="11.5703125" style="64" bestFit="1" customWidth="1"/>
    <col min="9996" max="10234" width="9.28515625" style="64"/>
    <col min="10235" max="10235" width="5" style="64" bestFit="1" customWidth="1"/>
    <col min="10236" max="10236" width="26.5703125" style="64" customWidth="1"/>
    <col min="10237" max="10238" width="9.7109375" style="64" customWidth="1"/>
    <col min="10239" max="10240" width="6.5703125" style="64" customWidth="1"/>
    <col min="10241" max="10241" width="11" style="64" customWidth="1"/>
    <col min="10242" max="10242" width="8" style="64" customWidth="1"/>
    <col min="10243" max="10243" width="8.7109375" style="64" customWidth="1"/>
    <col min="10244" max="10244" width="9.7109375" style="64" customWidth="1"/>
    <col min="10245" max="10245" width="11.5703125" style="64" customWidth="1"/>
    <col min="10246" max="10246" width="0" style="64" hidden="1" customWidth="1"/>
    <col min="10247" max="10247" width="12.42578125" style="64" customWidth="1"/>
    <col min="10248" max="10248" width="11.7109375" style="64" customWidth="1"/>
    <col min="10249" max="10249" width="11.42578125" style="64" customWidth="1"/>
    <col min="10250" max="10250" width="13.28515625" style="64" customWidth="1"/>
    <col min="10251" max="10251" width="11.5703125" style="64" bestFit="1" customWidth="1"/>
    <col min="10252" max="10490" width="9.28515625" style="64"/>
    <col min="10491" max="10491" width="5" style="64" bestFit="1" customWidth="1"/>
    <col min="10492" max="10492" width="26.5703125" style="64" customWidth="1"/>
    <col min="10493" max="10494" width="9.7109375" style="64" customWidth="1"/>
    <col min="10495" max="10496" width="6.5703125" style="64" customWidth="1"/>
    <col min="10497" max="10497" width="11" style="64" customWidth="1"/>
    <col min="10498" max="10498" width="8" style="64" customWidth="1"/>
    <col min="10499" max="10499" width="8.7109375" style="64" customWidth="1"/>
    <col min="10500" max="10500" width="9.7109375" style="64" customWidth="1"/>
    <col min="10501" max="10501" width="11.5703125" style="64" customWidth="1"/>
    <col min="10502" max="10502" width="0" style="64" hidden="1" customWidth="1"/>
    <col min="10503" max="10503" width="12.42578125" style="64" customWidth="1"/>
    <col min="10504" max="10504" width="11.7109375" style="64" customWidth="1"/>
    <col min="10505" max="10505" width="11.42578125" style="64" customWidth="1"/>
    <col min="10506" max="10506" width="13.28515625" style="64" customWidth="1"/>
    <col min="10507" max="10507" width="11.5703125" style="64" bestFit="1" customWidth="1"/>
    <col min="10508" max="10746" width="9.28515625" style="64"/>
    <col min="10747" max="10747" width="5" style="64" bestFit="1" customWidth="1"/>
    <col min="10748" max="10748" width="26.5703125" style="64" customWidth="1"/>
    <col min="10749" max="10750" width="9.7109375" style="64" customWidth="1"/>
    <col min="10751" max="10752" width="6.5703125" style="64" customWidth="1"/>
    <col min="10753" max="10753" width="11" style="64" customWidth="1"/>
    <col min="10754" max="10754" width="8" style="64" customWidth="1"/>
    <col min="10755" max="10755" width="8.7109375" style="64" customWidth="1"/>
    <col min="10756" max="10756" width="9.7109375" style="64" customWidth="1"/>
    <col min="10757" max="10757" width="11.5703125" style="64" customWidth="1"/>
    <col min="10758" max="10758" width="0" style="64" hidden="1" customWidth="1"/>
    <col min="10759" max="10759" width="12.42578125" style="64" customWidth="1"/>
    <col min="10760" max="10760" width="11.7109375" style="64" customWidth="1"/>
    <col min="10761" max="10761" width="11.42578125" style="64" customWidth="1"/>
    <col min="10762" max="10762" width="13.28515625" style="64" customWidth="1"/>
    <col min="10763" max="10763" width="11.5703125" style="64" bestFit="1" customWidth="1"/>
    <col min="10764" max="11002" width="9.28515625" style="64"/>
    <col min="11003" max="11003" width="5" style="64" bestFit="1" customWidth="1"/>
    <col min="11004" max="11004" width="26.5703125" style="64" customWidth="1"/>
    <col min="11005" max="11006" width="9.7109375" style="64" customWidth="1"/>
    <col min="11007" max="11008" width="6.5703125" style="64" customWidth="1"/>
    <col min="11009" max="11009" width="11" style="64" customWidth="1"/>
    <col min="11010" max="11010" width="8" style="64" customWidth="1"/>
    <col min="11011" max="11011" width="8.7109375" style="64" customWidth="1"/>
    <col min="11012" max="11012" width="9.7109375" style="64" customWidth="1"/>
    <col min="11013" max="11013" width="11.5703125" style="64" customWidth="1"/>
    <col min="11014" max="11014" width="0" style="64" hidden="1" customWidth="1"/>
    <col min="11015" max="11015" width="12.42578125" style="64" customWidth="1"/>
    <col min="11016" max="11016" width="11.7109375" style="64" customWidth="1"/>
    <col min="11017" max="11017" width="11.42578125" style="64" customWidth="1"/>
    <col min="11018" max="11018" width="13.28515625" style="64" customWidth="1"/>
    <col min="11019" max="11019" width="11.5703125" style="64" bestFit="1" customWidth="1"/>
    <col min="11020" max="11258" width="9.28515625" style="64"/>
    <col min="11259" max="11259" width="5" style="64" bestFit="1" customWidth="1"/>
    <col min="11260" max="11260" width="26.5703125" style="64" customWidth="1"/>
    <col min="11261" max="11262" width="9.7109375" style="64" customWidth="1"/>
    <col min="11263" max="11264" width="6.5703125" style="64" customWidth="1"/>
    <col min="11265" max="11265" width="11" style="64" customWidth="1"/>
    <col min="11266" max="11266" width="8" style="64" customWidth="1"/>
    <col min="11267" max="11267" width="8.7109375" style="64" customWidth="1"/>
    <col min="11268" max="11268" width="9.7109375" style="64" customWidth="1"/>
    <col min="11269" max="11269" width="11.5703125" style="64" customWidth="1"/>
    <col min="11270" max="11270" width="0" style="64" hidden="1" customWidth="1"/>
    <col min="11271" max="11271" width="12.42578125" style="64" customWidth="1"/>
    <col min="11272" max="11272" width="11.7109375" style="64" customWidth="1"/>
    <col min="11273" max="11273" width="11.42578125" style="64" customWidth="1"/>
    <col min="11274" max="11274" width="13.28515625" style="64" customWidth="1"/>
    <col min="11275" max="11275" width="11.5703125" style="64" bestFit="1" customWidth="1"/>
    <col min="11276" max="11514" width="9.28515625" style="64"/>
    <col min="11515" max="11515" width="5" style="64" bestFit="1" customWidth="1"/>
    <col min="11516" max="11516" width="26.5703125" style="64" customWidth="1"/>
    <col min="11517" max="11518" width="9.7109375" style="64" customWidth="1"/>
    <col min="11519" max="11520" width="6.5703125" style="64" customWidth="1"/>
    <col min="11521" max="11521" width="11" style="64" customWidth="1"/>
    <col min="11522" max="11522" width="8" style="64" customWidth="1"/>
    <col min="11523" max="11523" width="8.7109375" style="64" customWidth="1"/>
    <col min="11524" max="11524" width="9.7109375" style="64" customWidth="1"/>
    <col min="11525" max="11525" width="11.5703125" style="64" customWidth="1"/>
    <col min="11526" max="11526" width="0" style="64" hidden="1" customWidth="1"/>
    <col min="11527" max="11527" width="12.42578125" style="64" customWidth="1"/>
    <col min="11528" max="11528" width="11.7109375" style="64" customWidth="1"/>
    <col min="11529" max="11529" width="11.42578125" style="64" customWidth="1"/>
    <col min="11530" max="11530" width="13.28515625" style="64" customWidth="1"/>
    <col min="11531" max="11531" width="11.5703125" style="64" bestFit="1" customWidth="1"/>
    <col min="11532" max="11770" width="9.28515625" style="64"/>
    <col min="11771" max="11771" width="5" style="64" bestFit="1" customWidth="1"/>
    <col min="11772" max="11772" width="26.5703125" style="64" customWidth="1"/>
    <col min="11773" max="11774" width="9.7109375" style="64" customWidth="1"/>
    <col min="11775" max="11776" width="6.5703125" style="64" customWidth="1"/>
    <col min="11777" max="11777" width="11" style="64" customWidth="1"/>
    <col min="11778" max="11778" width="8" style="64" customWidth="1"/>
    <col min="11779" max="11779" width="8.7109375" style="64" customWidth="1"/>
    <col min="11780" max="11780" width="9.7109375" style="64" customWidth="1"/>
    <col min="11781" max="11781" width="11.5703125" style="64" customWidth="1"/>
    <col min="11782" max="11782" width="0" style="64" hidden="1" customWidth="1"/>
    <col min="11783" max="11783" width="12.42578125" style="64" customWidth="1"/>
    <col min="11784" max="11784" width="11.7109375" style="64" customWidth="1"/>
    <col min="11785" max="11785" width="11.42578125" style="64" customWidth="1"/>
    <col min="11786" max="11786" width="13.28515625" style="64" customWidth="1"/>
    <col min="11787" max="11787" width="11.5703125" style="64" bestFit="1" customWidth="1"/>
    <col min="11788" max="12026" width="9.28515625" style="64"/>
    <col min="12027" max="12027" width="5" style="64" bestFit="1" customWidth="1"/>
    <col min="12028" max="12028" width="26.5703125" style="64" customWidth="1"/>
    <col min="12029" max="12030" width="9.7109375" style="64" customWidth="1"/>
    <col min="12031" max="12032" width="6.5703125" style="64" customWidth="1"/>
    <col min="12033" max="12033" width="11" style="64" customWidth="1"/>
    <col min="12034" max="12034" width="8" style="64" customWidth="1"/>
    <col min="12035" max="12035" width="8.7109375" style="64" customWidth="1"/>
    <col min="12036" max="12036" width="9.7109375" style="64" customWidth="1"/>
    <col min="12037" max="12037" width="11.5703125" style="64" customWidth="1"/>
    <col min="12038" max="12038" width="0" style="64" hidden="1" customWidth="1"/>
    <col min="12039" max="12039" width="12.42578125" style="64" customWidth="1"/>
    <col min="12040" max="12040" width="11.7109375" style="64" customWidth="1"/>
    <col min="12041" max="12041" width="11.42578125" style="64" customWidth="1"/>
    <col min="12042" max="12042" width="13.28515625" style="64" customWidth="1"/>
    <col min="12043" max="12043" width="11.5703125" style="64" bestFit="1" customWidth="1"/>
    <col min="12044" max="12282" width="9.28515625" style="64"/>
    <col min="12283" max="12283" width="5" style="64" bestFit="1" customWidth="1"/>
    <col min="12284" max="12284" width="26.5703125" style="64" customWidth="1"/>
    <col min="12285" max="12286" width="9.7109375" style="64" customWidth="1"/>
    <col min="12287" max="12288" width="6.5703125" style="64" customWidth="1"/>
    <col min="12289" max="12289" width="11" style="64" customWidth="1"/>
    <col min="12290" max="12290" width="8" style="64" customWidth="1"/>
    <col min="12291" max="12291" width="8.7109375" style="64" customWidth="1"/>
    <col min="12292" max="12292" width="9.7109375" style="64" customWidth="1"/>
    <col min="12293" max="12293" width="11.5703125" style="64" customWidth="1"/>
    <col min="12294" max="12294" width="0" style="64" hidden="1" customWidth="1"/>
    <col min="12295" max="12295" width="12.42578125" style="64" customWidth="1"/>
    <col min="12296" max="12296" width="11.7109375" style="64" customWidth="1"/>
    <col min="12297" max="12297" width="11.42578125" style="64" customWidth="1"/>
    <col min="12298" max="12298" width="13.28515625" style="64" customWidth="1"/>
    <col min="12299" max="12299" width="11.5703125" style="64" bestFit="1" customWidth="1"/>
    <col min="12300" max="12538" width="9.28515625" style="64"/>
    <col min="12539" max="12539" width="5" style="64" bestFit="1" customWidth="1"/>
    <col min="12540" max="12540" width="26.5703125" style="64" customWidth="1"/>
    <col min="12541" max="12542" width="9.7109375" style="64" customWidth="1"/>
    <col min="12543" max="12544" width="6.5703125" style="64" customWidth="1"/>
    <col min="12545" max="12545" width="11" style="64" customWidth="1"/>
    <col min="12546" max="12546" width="8" style="64" customWidth="1"/>
    <col min="12547" max="12547" width="8.7109375" style="64" customWidth="1"/>
    <col min="12548" max="12548" width="9.7109375" style="64" customWidth="1"/>
    <col min="12549" max="12549" width="11.5703125" style="64" customWidth="1"/>
    <col min="12550" max="12550" width="0" style="64" hidden="1" customWidth="1"/>
    <col min="12551" max="12551" width="12.42578125" style="64" customWidth="1"/>
    <col min="12552" max="12552" width="11.7109375" style="64" customWidth="1"/>
    <col min="12553" max="12553" width="11.42578125" style="64" customWidth="1"/>
    <col min="12554" max="12554" width="13.28515625" style="64" customWidth="1"/>
    <col min="12555" max="12555" width="11.5703125" style="64" bestFit="1" customWidth="1"/>
    <col min="12556" max="12794" width="9.28515625" style="64"/>
    <col min="12795" max="12795" width="5" style="64" bestFit="1" customWidth="1"/>
    <col min="12796" max="12796" width="26.5703125" style="64" customWidth="1"/>
    <col min="12797" max="12798" width="9.7109375" style="64" customWidth="1"/>
    <col min="12799" max="12800" width="6.5703125" style="64" customWidth="1"/>
    <col min="12801" max="12801" width="11" style="64" customWidth="1"/>
    <col min="12802" max="12802" width="8" style="64" customWidth="1"/>
    <col min="12803" max="12803" width="8.7109375" style="64" customWidth="1"/>
    <col min="12804" max="12804" width="9.7109375" style="64" customWidth="1"/>
    <col min="12805" max="12805" width="11.5703125" style="64" customWidth="1"/>
    <col min="12806" max="12806" width="0" style="64" hidden="1" customWidth="1"/>
    <col min="12807" max="12807" width="12.42578125" style="64" customWidth="1"/>
    <col min="12808" max="12808" width="11.7109375" style="64" customWidth="1"/>
    <col min="12809" max="12809" width="11.42578125" style="64" customWidth="1"/>
    <col min="12810" max="12810" width="13.28515625" style="64" customWidth="1"/>
    <col min="12811" max="12811" width="11.5703125" style="64" bestFit="1" customWidth="1"/>
    <col min="12812" max="13050" width="9.28515625" style="64"/>
    <col min="13051" max="13051" width="5" style="64" bestFit="1" customWidth="1"/>
    <col min="13052" max="13052" width="26.5703125" style="64" customWidth="1"/>
    <col min="13053" max="13054" width="9.7109375" style="64" customWidth="1"/>
    <col min="13055" max="13056" width="6.5703125" style="64" customWidth="1"/>
    <col min="13057" max="13057" width="11" style="64" customWidth="1"/>
    <col min="13058" max="13058" width="8" style="64" customWidth="1"/>
    <col min="13059" max="13059" width="8.7109375" style="64" customWidth="1"/>
    <col min="13060" max="13060" width="9.7109375" style="64" customWidth="1"/>
    <col min="13061" max="13061" width="11.5703125" style="64" customWidth="1"/>
    <col min="13062" max="13062" width="0" style="64" hidden="1" customWidth="1"/>
    <col min="13063" max="13063" width="12.42578125" style="64" customWidth="1"/>
    <col min="13064" max="13064" width="11.7109375" style="64" customWidth="1"/>
    <col min="13065" max="13065" width="11.42578125" style="64" customWidth="1"/>
    <col min="13066" max="13066" width="13.28515625" style="64" customWidth="1"/>
    <col min="13067" max="13067" width="11.5703125" style="64" bestFit="1" customWidth="1"/>
    <col min="13068" max="13306" width="9.28515625" style="64"/>
    <col min="13307" max="13307" width="5" style="64" bestFit="1" customWidth="1"/>
    <col min="13308" max="13308" width="26.5703125" style="64" customWidth="1"/>
    <col min="13309" max="13310" width="9.7109375" style="64" customWidth="1"/>
    <col min="13311" max="13312" width="6.5703125" style="64" customWidth="1"/>
    <col min="13313" max="13313" width="11" style="64" customWidth="1"/>
    <col min="13314" max="13314" width="8" style="64" customWidth="1"/>
    <col min="13315" max="13315" width="8.7109375" style="64" customWidth="1"/>
    <col min="13316" max="13316" width="9.7109375" style="64" customWidth="1"/>
    <col min="13317" max="13317" width="11.5703125" style="64" customWidth="1"/>
    <col min="13318" max="13318" width="0" style="64" hidden="1" customWidth="1"/>
    <col min="13319" max="13319" width="12.42578125" style="64" customWidth="1"/>
    <col min="13320" max="13320" width="11.7109375" style="64" customWidth="1"/>
    <col min="13321" max="13321" width="11.42578125" style="64" customWidth="1"/>
    <col min="13322" max="13322" width="13.28515625" style="64" customWidth="1"/>
    <col min="13323" max="13323" width="11.5703125" style="64" bestFit="1" customWidth="1"/>
    <col min="13324" max="13562" width="9.28515625" style="64"/>
    <col min="13563" max="13563" width="5" style="64" bestFit="1" customWidth="1"/>
    <col min="13564" max="13564" width="26.5703125" style="64" customWidth="1"/>
    <col min="13565" max="13566" width="9.7109375" style="64" customWidth="1"/>
    <col min="13567" max="13568" width="6.5703125" style="64" customWidth="1"/>
    <col min="13569" max="13569" width="11" style="64" customWidth="1"/>
    <col min="13570" max="13570" width="8" style="64" customWidth="1"/>
    <col min="13571" max="13571" width="8.7109375" style="64" customWidth="1"/>
    <col min="13572" max="13572" width="9.7109375" style="64" customWidth="1"/>
    <col min="13573" max="13573" width="11.5703125" style="64" customWidth="1"/>
    <col min="13574" max="13574" width="0" style="64" hidden="1" customWidth="1"/>
    <col min="13575" max="13575" width="12.42578125" style="64" customWidth="1"/>
    <col min="13576" max="13576" width="11.7109375" style="64" customWidth="1"/>
    <col min="13577" max="13577" width="11.42578125" style="64" customWidth="1"/>
    <col min="13578" max="13578" width="13.28515625" style="64" customWidth="1"/>
    <col min="13579" max="13579" width="11.5703125" style="64" bestFit="1" customWidth="1"/>
    <col min="13580" max="13818" width="9.28515625" style="64"/>
    <col min="13819" max="13819" width="5" style="64" bestFit="1" customWidth="1"/>
    <col min="13820" max="13820" width="26.5703125" style="64" customWidth="1"/>
    <col min="13821" max="13822" width="9.7109375" style="64" customWidth="1"/>
    <col min="13823" max="13824" width="6.5703125" style="64" customWidth="1"/>
    <col min="13825" max="13825" width="11" style="64" customWidth="1"/>
    <col min="13826" max="13826" width="8" style="64" customWidth="1"/>
    <col min="13827" max="13827" width="8.7109375" style="64" customWidth="1"/>
    <col min="13828" max="13828" width="9.7109375" style="64" customWidth="1"/>
    <col min="13829" max="13829" width="11.5703125" style="64" customWidth="1"/>
    <col min="13830" max="13830" width="0" style="64" hidden="1" customWidth="1"/>
    <col min="13831" max="13831" width="12.42578125" style="64" customWidth="1"/>
    <col min="13832" max="13832" width="11.7109375" style="64" customWidth="1"/>
    <col min="13833" max="13833" width="11.42578125" style="64" customWidth="1"/>
    <col min="13834" max="13834" width="13.28515625" style="64" customWidth="1"/>
    <col min="13835" max="13835" width="11.5703125" style="64" bestFit="1" customWidth="1"/>
    <col min="13836" max="14074" width="9.28515625" style="64"/>
    <col min="14075" max="14075" width="5" style="64" bestFit="1" customWidth="1"/>
    <col min="14076" max="14076" width="26.5703125" style="64" customWidth="1"/>
    <col min="14077" max="14078" width="9.7109375" style="64" customWidth="1"/>
    <col min="14079" max="14080" width="6.5703125" style="64" customWidth="1"/>
    <col min="14081" max="14081" width="11" style="64" customWidth="1"/>
    <col min="14082" max="14082" width="8" style="64" customWidth="1"/>
    <col min="14083" max="14083" width="8.7109375" style="64" customWidth="1"/>
    <col min="14084" max="14084" width="9.7109375" style="64" customWidth="1"/>
    <col min="14085" max="14085" width="11.5703125" style="64" customWidth="1"/>
    <col min="14086" max="14086" width="0" style="64" hidden="1" customWidth="1"/>
    <col min="14087" max="14087" width="12.42578125" style="64" customWidth="1"/>
    <col min="14088" max="14088" width="11.7109375" style="64" customWidth="1"/>
    <col min="14089" max="14089" width="11.42578125" style="64" customWidth="1"/>
    <col min="14090" max="14090" width="13.28515625" style="64" customWidth="1"/>
    <col min="14091" max="14091" width="11.5703125" style="64" bestFit="1" customWidth="1"/>
    <col min="14092" max="14330" width="9.28515625" style="64"/>
    <col min="14331" max="14331" width="5" style="64" bestFit="1" customWidth="1"/>
    <col min="14332" max="14332" width="26.5703125" style="64" customWidth="1"/>
    <col min="14333" max="14334" width="9.7109375" style="64" customWidth="1"/>
    <col min="14335" max="14336" width="6.5703125" style="64" customWidth="1"/>
    <col min="14337" max="14337" width="11" style="64" customWidth="1"/>
    <col min="14338" max="14338" width="8" style="64" customWidth="1"/>
    <col min="14339" max="14339" width="8.7109375" style="64" customWidth="1"/>
    <col min="14340" max="14340" width="9.7109375" style="64" customWidth="1"/>
    <col min="14341" max="14341" width="11.5703125" style="64" customWidth="1"/>
    <col min="14342" max="14342" width="0" style="64" hidden="1" customWidth="1"/>
    <col min="14343" max="14343" width="12.42578125" style="64" customWidth="1"/>
    <col min="14344" max="14344" width="11.7109375" style="64" customWidth="1"/>
    <col min="14345" max="14345" width="11.42578125" style="64" customWidth="1"/>
    <col min="14346" max="14346" width="13.28515625" style="64" customWidth="1"/>
    <col min="14347" max="14347" width="11.5703125" style="64" bestFit="1" customWidth="1"/>
    <col min="14348" max="14586" width="9.28515625" style="64"/>
    <col min="14587" max="14587" width="5" style="64" bestFit="1" customWidth="1"/>
    <col min="14588" max="14588" width="26.5703125" style="64" customWidth="1"/>
    <col min="14589" max="14590" width="9.7109375" style="64" customWidth="1"/>
    <col min="14591" max="14592" width="6.5703125" style="64" customWidth="1"/>
    <col min="14593" max="14593" width="11" style="64" customWidth="1"/>
    <col min="14594" max="14594" width="8" style="64" customWidth="1"/>
    <col min="14595" max="14595" width="8.7109375" style="64" customWidth="1"/>
    <col min="14596" max="14596" width="9.7109375" style="64" customWidth="1"/>
    <col min="14597" max="14597" width="11.5703125" style="64" customWidth="1"/>
    <col min="14598" max="14598" width="0" style="64" hidden="1" customWidth="1"/>
    <col min="14599" max="14599" width="12.42578125" style="64" customWidth="1"/>
    <col min="14600" max="14600" width="11.7109375" style="64" customWidth="1"/>
    <col min="14601" max="14601" width="11.42578125" style="64" customWidth="1"/>
    <col min="14602" max="14602" width="13.28515625" style="64" customWidth="1"/>
    <col min="14603" max="14603" width="11.5703125" style="64" bestFit="1" customWidth="1"/>
    <col min="14604" max="14842" width="9.28515625" style="64"/>
    <col min="14843" max="14843" width="5" style="64" bestFit="1" customWidth="1"/>
    <col min="14844" max="14844" width="26.5703125" style="64" customWidth="1"/>
    <col min="14845" max="14846" width="9.7109375" style="64" customWidth="1"/>
    <col min="14847" max="14848" width="6.5703125" style="64" customWidth="1"/>
    <col min="14849" max="14849" width="11" style="64" customWidth="1"/>
    <col min="14850" max="14850" width="8" style="64" customWidth="1"/>
    <col min="14851" max="14851" width="8.7109375" style="64" customWidth="1"/>
    <col min="14852" max="14852" width="9.7109375" style="64" customWidth="1"/>
    <col min="14853" max="14853" width="11.5703125" style="64" customWidth="1"/>
    <col min="14854" max="14854" width="0" style="64" hidden="1" customWidth="1"/>
    <col min="14855" max="14855" width="12.42578125" style="64" customWidth="1"/>
    <col min="14856" max="14856" width="11.7109375" style="64" customWidth="1"/>
    <col min="14857" max="14857" width="11.42578125" style="64" customWidth="1"/>
    <col min="14858" max="14858" width="13.28515625" style="64" customWidth="1"/>
    <col min="14859" max="14859" width="11.5703125" style="64" bestFit="1" customWidth="1"/>
    <col min="14860" max="15098" width="9.28515625" style="64"/>
    <col min="15099" max="15099" width="5" style="64" bestFit="1" customWidth="1"/>
    <col min="15100" max="15100" width="26.5703125" style="64" customWidth="1"/>
    <col min="15101" max="15102" width="9.7109375" style="64" customWidth="1"/>
    <col min="15103" max="15104" width="6.5703125" style="64" customWidth="1"/>
    <col min="15105" max="15105" width="11" style="64" customWidth="1"/>
    <col min="15106" max="15106" width="8" style="64" customWidth="1"/>
    <col min="15107" max="15107" width="8.7109375" style="64" customWidth="1"/>
    <col min="15108" max="15108" width="9.7109375" style="64" customWidth="1"/>
    <col min="15109" max="15109" width="11.5703125" style="64" customWidth="1"/>
    <col min="15110" max="15110" width="0" style="64" hidden="1" customWidth="1"/>
    <col min="15111" max="15111" width="12.42578125" style="64" customWidth="1"/>
    <col min="15112" max="15112" width="11.7109375" style="64" customWidth="1"/>
    <col min="15113" max="15113" width="11.42578125" style="64" customWidth="1"/>
    <col min="15114" max="15114" width="13.28515625" style="64" customWidth="1"/>
    <col min="15115" max="15115" width="11.5703125" style="64" bestFit="1" customWidth="1"/>
    <col min="15116" max="15354" width="9.28515625" style="64"/>
    <col min="15355" max="15355" width="5" style="64" bestFit="1" customWidth="1"/>
    <col min="15356" max="15356" width="26.5703125" style="64" customWidth="1"/>
    <col min="15357" max="15358" width="9.7109375" style="64" customWidth="1"/>
    <col min="15359" max="15360" width="6.5703125" style="64" customWidth="1"/>
    <col min="15361" max="15361" width="11" style="64" customWidth="1"/>
    <col min="15362" max="15362" width="8" style="64" customWidth="1"/>
    <col min="15363" max="15363" width="8.7109375" style="64" customWidth="1"/>
    <col min="15364" max="15364" width="9.7109375" style="64" customWidth="1"/>
    <col min="15365" max="15365" width="11.5703125" style="64" customWidth="1"/>
    <col min="15366" max="15366" width="0" style="64" hidden="1" customWidth="1"/>
    <col min="15367" max="15367" width="12.42578125" style="64" customWidth="1"/>
    <col min="15368" max="15368" width="11.7109375" style="64" customWidth="1"/>
    <col min="15369" max="15369" width="11.42578125" style="64" customWidth="1"/>
    <col min="15370" max="15370" width="13.28515625" style="64" customWidth="1"/>
    <col min="15371" max="15371" width="11.5703125" style="64" bestFit="1" customWidth="1"/>
    <col min="15372" max="15610" width="9.28515625" style="64"/>
    <col min="15611" max="15611" width="5" style="64" bestFit="1" customWidth="1"/>
    <col min="15612" max="15612" width="26.5703125" style="64" customWidth="1"/>
    <col min="15613" max="15614" width="9.7109375" style="64" customWidth="1"/>
    <col min="15615" max="15616" width="6.5703125" style="64" customWidth="1"/>
    <col min="15617" max="15617" width="11" style="64" customWidth="1"/>
    <col min="15618" max="15618" width="8" style="64" customWidth="1"/>
    <col min="15619" max="15619" width="8.7109375" style="64" customWidth="1"/>
    <col min="15620" max="15620" width="9.7109375" style="64" customWidth="1"/>
    <col min="15621" max="15621" width="11.5703125" style="64" customWidth="1"/>
    <col min="15622" max="15622" width="0" style="64" hidden="1" customWidth="1"/>
    <col min="15623" max="15623" width="12.42578125" style="64" customWidth="1"/>
    <col min="15624" max="15624" width="11.7109375" style="64" customWidth="1"/>
    <col min="15625" max="15625" width="11.42578125" style="64" customWidth="1"/>
    <col min="15626" max="15626" width="13.28515625" style="64" customWidth="1"/>
    <col min="15627" max="15627" width="11.5703125" style="64" bestFit="1" customWidth="1"/>
    <col min="15628" max="15866" width="9.28515625" style="64"/>
    <col min="15867" max="15867" width="5" style="64" bestFit="1" customWidth="1"/>
    <col min="15868" max="15868" width="26.5703125" style="64" customWidth="1"/>
    <col min="15869" max="15870" width="9.7109375" style="64" customWidth="1"/>
    <col min="15871" max="15872" width="6.5703125" style="64" customWidth="1"/>
    <col min="15873" max="15873" width="11" style="64" customWidth="1"/>
    <col min="15874" max="15874" width="8" style="64" customWidth="1"/>
    <col min="15875" max="15875" width="8.7109375" style="64" customWidth="1"/>
    <col min="15876" max="15876" width="9.7109375" style="64" customWidth="1"/>
    <col min="15877" max="15877" width="11.5703125" style="64" customWidth="1"/>
    <col min="15878" max="15878" width="0" style="64" hidden="1" customWidth="1"/>
    <col min="15879" max="15879" width="12.42578125" style="64" customWidth="1"/>
    <col min="15880" max="15880" width="11.7109375" style="64" customWidth="1"/>
    <col min="15881" max="15881" width="11.42578125" style="64" customWidth="1"/>
    <col min="15882" max="15882" width="13.28515625" style="64" customWidth="1"/>
    <col min="15883" max="15883" width="11.5703125" style="64" bestFit="1" customWidth="1"/>
    <col min="15884" max="16122" width="9.28515625" style="64"/>
    <col min="16123" max="16123" width="5" style="64" bestFit="1" customWidth="1"/>
    <col min="16124" max="16124" width="26.5703125" style="64" customWidth="1"/>
    <col min="16125" max="16126" width="9.7109375" style="64" customWidth="1"/>
    <col min="16127" max="16128" width="6.5703125" style="64" customWidth="1"/>
    <col min="16129" max="16129" width="11" style="64" customWidth="1"/>
    <col min="16130" max="16130" width="8" style="64" customWidth="1"/>
    <col min="16131" max="16131" width="8.7109375" style="64" customWidth="1"/>
    <col min="16132" max="16132" width="9.7109375" style="64" customWidth="1"/>
    <col min="16133" max="16133" width="11.5703125" style="64" customWidth="1"/>
    <col min="16134" max="16134" width="0" style="64" hidden="1" customWidth="1"/>
    <col min="16135" max="16135" width="12.42578125" style="64" customWidth="1"/>
    <col min="16136" max="16136" width="11.7109375" style="64" customWidth="1"/>
    <col min="16137" max="16137" width="11.42578125" style="64" customWidth="1"/>
    <col min="16138" max="16138" width="13.28515625" style="64" customWidth="1"/>
    <col min="16139" max="16139" width="11.5703125" style="64" bestFit="1" customWidth="1"/>
    <col min="16140" max="16384" width="9.28515625" style="64"/>
  </cols>
  <sheetData>
    <row r="1" spans="1:32" ht="66" customHeight="1">
      <c r="AA1" s="399" t="s">
        <v>529</v>
      </c>
      <c r="AB1" s="399"/>
    </row>
    <row r="2" spans="1:3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13"/>
      <c r="Z2" s="5"/>
      <c r="AA2" s="5"/>
      <c r="AB2" s="5"/>
    </row>
    <row r="3" spans="1:32" ht="14.25">
      <c r="A3" s="478" t="s">
        <v>208</v>
      </c>
      <c r="B3" s="478"/>
      <c r="C3" s="478"/>
      <c r="D3" s="478"/>
      <c r="E3" s="478"/>
      <c r="F3" s="478"/>
      <c r="G3" s="478"/>
      <c r="H3" s="478"/>
      <c r="I3" s="478"/>
      <c r="J3" s="478"/>
      <c r="K3" s="478"/>
      <c r="L3" s="478"/>
      <c r="M3" s="478"/>
      <c r="N3" s="478"/>
      <c r="O3" s="478"/>
      <c r="P3" s="478"/>
      <c r="Q3" s="478"/>
      <c r="R3" s="478"/>
      <c r="S3" s="478"/>
      <c r="T3" s="478"/>
      <c r="U3" s="478"/>
      <c r="V3" s="478"/>
      <c r="W3" s="478"/>
      <c r="X3" s="478"/>
      <c r="Y3" s="478"/>
      <c r="Z3" s="478"/>
      <c r="AA3" s="478"/>
      <c r="AB3" s="478"/>
    </row>
    <row r="4" spans="1:32">
      <c r="B4" s="22" t="s">
        <v>209</v>
      </c>
      <c r="D4" s="479" t="s">
        <v>193</v>
      </c>
      <c r="E4" s="479"/>
      <c r="F4" s="479"/>
      <c r="G4" s="479"/>
      <c r="H4" s="479"/>
      <c r="I4" s="479"/>
      <c r="J4" s="479"/>
      <c r="K4" s="479"/>
      <c r="L4" s="479"/>
      <c r="M4" s="479"/>
      <c r="N4" s="479"/>
      <c r="O4" s="479"/>
      <c r="P4" s="479"/>
      <c r="Q4" s="479"/>
      <c r="R4" s="479"/>
      <c r="S4" s="479"/>
      <c r="T4" s="479"/>
      <c r="U4" s="479"/>
      <c r="V4" s="479"/>
      <c r="W4" s="479"/>
      <c r="X4" s="479"/>
      <c r="Y4" s="479"/>
      <c r="Z4" s="479"/>
    </row>
    <row r="5" spans="1:32">
      <c r="B5" s="22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207"/>
      <c r="Y5" s="207"/>
      <c r="Z5" s="207"/>
    </row>
    <row r="6" spans="1:32">
      <c r="A6" s="441" t="s">
        <v>0</v>
      </c>
      <c r="B6" s="441" t="s">
        <v>20</v>
      </c>
      <c r="C6" s="441" t="s">
        <v>21</v>
      </c>
      <c r="D6" s="441" t="s">
        <v>22</v>
      </c>
      <c r="E6" s="441" t="s">
        <v>103</v>
      </c>
      <c r="F6" s="443" t="s">
        <v>23</v>
      </c>
      <c r="G6" s="434" t="s">
        <v>104</v>
      </c>
      <c r="H6" s="435"/>
      <c r="I6" s="435"/>
      <c r="J6" s="435"/>
      <c r="K6" s="435"/>
      <c r="L6" s="435"/>
      <c r="M6" s="435"/>
      <c r="N6" s="435"/>
      <c r="O6" s="435"/>
      <c r="P6" s="435"/>
      <c r="Q6" s="436"/>
      <c r="R6" s="441" t="s">
        <v>28</v>
      </c>
      <c r="S6" s="441" t="s">
        <v>167</v>
      </c>
      <c r="T6" s="441" t="s">
        <v>105</v>
      </c>
      <c r="U6" s="441" t="s">
        <v>106</v>
      </c>
      <c r="V6" s="441" t="s">
        <v>107</v>
      </c>
      <c r="W6" s="441" t="s">
        <v>108</v>
      </c>
      <c r="X6" s="437" t="s">
        <v>194</v>
      </c>
      <c r="Y6" s="437" t="s">
        <v>106</v>
      </c>
      <c r="Z6" s="437" t="s">
        <v>110</v>
      </c>
      <c r="AA6" s="437" t="s">
        <v>111</v>
      </c>
      <c r="AB6" s="437" t="s">
        <v>112</v>
      </c>
    </row>
    <row r="7" spans="1:32" ht="88.15" customHeight="1">
      <c r="A7" s="441"/>
      <c r="B7" s="441"/>
      <c r="C7" s="441"/>
      <c r="D7" s="441"/>
      <c r="E7" s="441"/>
      <c r="F7" s="443"/>
      <c r="G7" s="441" t="s">
        <v>85</v>
      </c>
      <c r="H7" s="441"/>
      <c r="I7" s="127" t="s">
        <v>25</v>
      </c>
      <c r="J7" s="441" t="s">
        <v>24</v>
      </c>
      <c r="K7" s="441"/>
      <c r="L7" s="444" t="s">
        <v>114</v>
      </c>
      <c r="M7" s="445"/>
      <c r="N7" s="441" t="s">
        <v>26</v>
      </c>
      <c r="O7" s="441"/>
      <c r="P7" s="439" t="s">
        <v>115</v>
      </c>
      <c r="Q7" s="440"/>
      <c r="R7" s="441"/>
      <c r="S7" s="441"/>
      <c r="T7" s="441"/>
      <c r="U7" s="441"/>
      <c r="V7" s="441"/>
      <c r="W7" s="441"/>
      <c r="X7" s="438"/>
      <c r="Y7" s="438"/>
      <c r="Z7" s="438"/>
      <c r="AA7" s="438"/>
      <c r="AB7" s="438"/>
    </row>
    <row r="8" spans="1:32">
      <c r="A8" s="441"/>
      <c r="B8" s="441"/>
      <c r="C8" s="441"/>
      <c r="D8" s="441"/>
      <c r="E8" s="441"/>
      <c r="F8" s="443"/>
      <c r="G8" s="125" t="s">
        <v>3</v>
      </c>
      <c r="H8" s="125" t="s">
        <v>29</v>
      </c>
      <c r="I8" s="125" t="s">
        <v>29</v>
      </c>
      <c r="J8" s="125" t="s">
        <v>3</v>
      </c>
      <c r="K8" s="125" t="s">
        <v>29</v>
      </c>
      <c r="L8" s="125" t="s">
        <v>3</v>
      </c>
      <c r="M8" s="125" t="s">
        <v>29</v>
      </c>
      <c r="N8" s="125" t="s">
        <v>3</v>
      </c>
      <c r="O8" s="125" t="s">
        <v>29</v>
      </c>
      <c r="P8" s="125" t="s">
        <v>3</v>
      </c>
      <c r="Q8" s="125" t="s">
        <v>29</v>
      </c>
      <c r="R8" s="125" t="s">
        <v>29</v>
      </c>
      <c r="S8" s="125" t="s">
        <v>29</v>
      </c>
      <c r="T8" s="125" t="s">
        <v>29</v>
      </c>
      <c r="U8" s="125" t="s">
        <v>29</v>
      </c>
      <c r="V8" s="125" t="s">
        <v>29</v>
      </c>
      <c r="W8" s="125" t="s">
        <v>29</v>
      </c>
      <c r="X8" s="125" t="s">
        <v>29</v>
      </c>
      <c r="Y8" s="125" t="s">
        <v>29</v>
      </c>
      <c r="Z8" s="125" t="s">
        <v>29</v>
      </c>
      <c r="AA8" s="125"/>
      <c r="AB8" s="125" t="s">
        <v>29</v>
      </c>
    </row>
    <row r="9" spans="1:32">
      <c r="A9" s="125">
        <v>1</v>
      </c>
      <c r="B9" s="125">
        <v>2</v>
      </c>
      <c r="C9" s="125">
        <v>3</v>
      </c>
      <c r="D9" s="125">
        <v>4</v>
      </c>
      <c r="E9" s="125">
        <v>5</v>
      </c>
      <c r="F9" s="125">
        <v>6</v>
      </c>
      <c r="G9" s="125">
        <v>7</v>
      </c>
      <c r="H9" s="125">
        <v>8</v>
      </c>
      <c r="I9" s="125">
        <v>9</v>
      </c>
      <c r="J9" s="125">
        <v>10</v>
      </c>
      <c r="K9" s="125">
        <v>11</v>
      </c>
      <c r="L9" s="125">
        <v>12</v>
      </c>
      <c r="M9" s="125">
        <v>13</v>
      </c>
      <c r="N9" s="125">
        <v>9</v>
      </c>
      <c r="O9" s="125">
        <v>10</v>
      </c>
      <c r="P9" s="125">
        <v>11</v>
      </c>
      <c r="Q9" s="125">
        <v>12</v>
      </c>
      <c r="R9" s="125">
        <v>13</v>
      </c>
      <c r="S9" s="125">
        <v>14</v>
      </c>
      <c r="T9" s="125">
        <v>20</v>
      </c>
      <c r="U9" s="125">
        <v>21</v>
      </c>
      <c r="V9" s="126" t="s">
        <v>116</v>
      </c>
      <c r="W9" s="126" t="s">
        <v>140</v>
      </c>
      <c r="X9" s="126" t="s">
        <v>129</v>
      </c>
      <c r="Y9" s="126" t="s">
        <v>130</v>
      </c>
      <c r="Z9" s="126" t="s">
        <v>123</v>
      </c>
      <c r="AA9" s="126" t="s">
        <v>124</v>
      </c>
      <c r="AB9" s="126" t="s">
        <v>117</v>
      </c>
    </row>
    <row r="10" spans="1:32" ht="13.9" customHeight="1">
      <c r="A10" s="480" t="s">
        <v>354</v>
      </c>
      <c r="B10" s="481"/>
      <c r="C10" s="481"/>
      <c r="D10" s="481"/>
      <c r="E10" s="481"/>
      <c r="F10" s="481"/>
      <c r="G10" s="481"/>
      <c r="H10" s="481"/>
      <c r="I10" s="481"/>
      <c r="J10" s="481"/>
      <c r="K10" s="481"/>
      <c r="L10" s="481"/>
      <c r="M10" s="481"/>
      <c r="N10" s="481"/>
      <c r="O10" s="481"/>
      <c r="P10" s="481"/>
      <c r="Q10" s="481"/>
      <c r="R10" s="481"/>
      <c r="S10" s="481"/>
      <c r="T10" s="481"/>
      <c r="U10" s="481"/>
      <c r="V10" s="481"/>
      <c r="W10" s="481"/>
      <c r="X10" s="481"/>
      <c r="Y10" s="481"/>
      <c r="Z10" s="481"/>
      <c r="AA10" s="481"/>
      <c r="AB10" s="482"/>
    </row>
    <row r="11" spans="1:32" ht="13.9" customHeight="1">
      <c r="A11" s="480" t="s">
        <v>210</v>
      </c>
      <c r="B11" s="481"/>
      <c r="C11" s="481"/>
      <c r="D11" s="481"/>
      <c r="E11" s="481"/>
      <c r="F11" s="481"/>
      <c r="G11" s="481"/>
      <c r="H11" s="481"/>
      <c r="I11" s="481"/>
      <c r="J11" s="481"/>
      <c r="K11" s="481"/>
      <c r="L11" s="481"/>
      <c r="M11" s="481"/>
      <c r="N11" s="481"/>
      <c r="O11" s="481"/>
      <c r="P11" s="481"/>
      <c r="Q11" s="481"/>
      <c r="R11" s="481"/>
      <c r="S11" s="481"/>
      <c r="T11" s="481"/>
      <c r="U11" s="481"/>
      <c r="V11" s="481"/>
      <c r="W11" s="481"/>
      <c r="X11" s="481"/>
      <c r="Y11" s="481"/>
      <c r="Z11" s="481"/>
      <c r="AA11" s="481"/>
      <c r="AB11" s="482"/>
      <c r="AE11" s="86"/>
      <c r="AF11" s="86"/>
    </row>
    <row r="12" spans="1:32">
      <c r="A12" s="20">
        <v>1</v>
      </c>
      <c r="B12" s="76" t="s">
        <v>32</v>
      </c>
      <c r="C12" s="87">
        <v>1</v>
      </c>
      <c r="D12" s="169">
        <v>7040</v>
      </c>
      <c r="E12" s="88">
        <v>1.1399999999999999</v>
      </c>
      <c r="F12" s="169">
        <f t="shared" ref="F12:F14" si="0">+E12*D12</f>
        <v>8025.5999999999995</v>
      </c>
      <c r="G12" s="89"/>
      <c r="H12" s="169"/>
      <c r="I12" s="139"/>
      <c r="J12" s="140"/>
      <c r="K12" s="141"/>
      <c r="L12" s="141">
        <f t="shared" ref="L12" si="1">K12</f>
        <v>0</v>
      </c>
      <c r="M12" s="141"/>
      <c r="N12" s="141"/>
      <c r="O12" s="169">
        <v>4000</v>
      </c>
      <c r="P12" s="89">
        <v>0.2</v>
      </c>
      <c r="Q12" s="85">
        <f>+F12*P12</f>
        <v>1605.12</v>
      </c>
      <c r="R12" s="85">
        <f>+F12+H12+I12+K12+O12+Q12</f>
        <v>13630.719999999998</v>
      </c>
      <c r="S12" s="85">
        <f t="shared" ref="S12:S14" si="2">R12*C12</f>
        <v>13630.719999999998</v>
      </c>
      <c r="T12" s="85"/>
      <c r="U12" s="85"/>
      <c r="V12" s="85"/>
      <c r="W12" s="85">
        <f t="shared" ref="W12:W14" si="3">(S12*14.0135)/12</f>
        <v>15917.841226666664</v>
      </c>
      <c r="X12" s="169">
        <f t="shared" ref="X12:X14" si="4">(((S12+(W12*14.0135/12/12)))*3/3/29.6)*30</f>
        <v>15384.912359444628</v>
      </c>
      <c r="Y12" s="85">
        <f t="shared" ref="Y12:Y14" si="5">S12*2</f>
        <v>27261.439999999995</v>
      </c>
      <c r="Z12" s="169">
        <f>(S12*7)+T12+U12+W12+X12+Y12</f>
        <v>153979.23358611128</v>
      </c>
      <c r="AA12" s="169">
        <f>((S12*7)+T12+X12+W12)*0.1725</f>
        <v>21858.819393604193</v>
      </c>
      <c r="AB12" s="169">
        <f>Z12+AA12</f>
        <v>175838.05297971546</v>
      </c>
    </row>
    <row r="13" spans="1:32">
      <c r="A13" s="20">
        <v>2</v>
      </c>
      <c r="B13" s="76" t="s">
        <v>211</v>
      </c>
      <c r="C13" s="87">
        <v>6</v>
      </c>
      <c r="D13" s="169">
        <v>7040</v>
      </c>
      <c r="E13" s="88">
        <v>1</v>
      </c>
      <c r="F13" s="169">
        <f t="shared" si="0"/>
        <v>7040</v>
      </c>
      <c r="G13" s="89"/>
      <c r="H13" s="169"/>
      <c r="I13" s="139"/>
      <c r="J13" s="140"/>
      <c r="K13" s="141"/>
      <c r="L13" s="141">
        <f t="shared" ref="L13" si="6">K13*7</f>
        <v>0</v>
      </c>
      <c r="M13" s="141"/>
      <c r="N13" s="141"/>
      <c r="O13" s="169">
        <v>13000</v>
      </c>
      <c r="P13" s="89"/>
      <c r="Q13" s="85"/>
      <c r="R13" s="85">
        <f t="shared" ref="R13:R14" si="7">+F13+H13+I13+K13+O13+Q13</f>
        <v>20040</v>
      </c>
      <c r="S13" s="85">
        <f t="shared" si="2"/>
        <v>120240</v>
      </c>
      <c r="T13" s="85"/>
      <c r="U13" s="85"/>
      <c r="V13" s="85"/>
      <c r="W13" s="85">
        <f t="shared" si="3"/>
        <v>140415.26999999999</v>
      </c>
      <c r="X13" s="169">
        <f t="shared" si="4"/>
        <v>135714.17079212415</v>
      </c>
      <c r="Y13" s="85">
        <f t="shared" si="5"/>
        <v>240480</v>
      </c>
      <c r="Z13" s="169">
        <f t="shared" ref="Z13:Z14" si="8">(S13*7)+T13+U13+W13+X13+Y13</f>
        <v>1358289.4407921243</v>
      </c>
      <c r="AA13" s="169">
        <f t="shared" ref="AA13:AA14" si="9">((S13*7)+T13+X13+W13)*0.1725</f>
        <v>192822.12853664136</v>
      </c>
      <c r="AB13" s="169">
        <f t="shared" ref="AB13:AB14" si="10">Z13+AA13</f>
        <v>1551111.5693287656</v>
      </c>
      <c r="AE13" s="86"/>
      <c r="AF13" s="86"/>
    </row>
    <row r="14" spans="1:32">
      <c r="A14" s="20">
        <v>3</v>
      </c>
      <c r="B14" s="77" t="s">
        <v>212</v>
      </c>
      <c r="C14" s="87">
        <v>5</v>
      </c>
      <c r="D14" s="169">
        <v>7040</v>
      </c>
      <c r="E14" s="88">
        <v>1</v>
      </c>
      <c r="F14" s="169">
        <f t="shared" si="0"/>
        <v>7040</v>
      </c>
      <c r="G14" s="89"/>
      <c r="H14" s="169"/>
      <c r="I14" s="139"/>
      <c r="J14" s="140"/>
      <c r="K14" s="141"/>
      <c r="L14" s="141">
        <f t="shared" ref="L14" si="11">K14*4</f>
        <v>0</v>
      </c>
      <c r="M14" s="141"/>
      <c r="N14" s="141"/>
      <c r="O14" s="169">
        <v>5000</v>
      </c>
      <c r="P14" s="89">
        <v>0.5</v>
      </c>
      <c r="Q14" s="85">
        <f t="shared" ref="Q14" si="12">+F14*P14</f>
        <v>3520</v>
      </c>
      <c r="R14" s="85">
        <f t="shared" si="7"/>
        <v>15560</v>
      </c>
      <c r="S14" s="85">
        <f t="shared" si="2"/>
        <v>77800</v>
      </c>
      <c r="T14" s="85"/>
      <c r="U14" s="85"/>
      <c r="V14" s="85"/>
      <c r="W14" s="85">
        <f t="shared" si="3"/>
        <v>90854.191666666666</v>
      </c>
      <c r="X14" s="169">
        <f t="shared" si="4"/>
        <v>87812.395938350455</v>
      </c>
      <c r="Y14" s="85">
        <f t="shared" si="5"/>
        <v>155600</v>
      </c>
      <c r="Z14" s="169">
        <f t="shared" si="8"/>
        <v>878866.58760501712</v>
      </c>
      <c r="AA14" s="169">
        <f t="shared" si="9"/>
        <v>124763.48636186545</v>
      </c>
      <c r="AB14" s="169">
        <f t="shared" si="10"/>
        <v>1003630.0739668825</v>
      </c>
      <c r="AC14" s="86"/>
    </row>
    <row r="15" spans="1:32" s="244" customFormat="1">
      <c r="A15" s="16"/>
      <c r="B15" s="14" t="s">
        <v>213</v>
      </c>
      <c r="C15" s="14">
        <f>SUM(C12:C14)</f>
        <v>12</v>
      </c>
      <c r="D15" s="209"/>
      <c r="E15" s="242"/>
      <c r="F15" s="209">
        <f>SUM(F12:F14)</f>
        <v>22105.599999999999</v>
      </c>
      <c r="G15" s="208"/>
      <c r="H15" s="209"/>
      <c r="I15" s="208"/>
      <c r="J15" s="208"/>
      <c r="K15" s="208"/>
      <c r="L15" s="208"/>
      <c r="M15" s="208"/>
      <c r="N15" s="208"/>
      <c r="O15" s="209">
        <f>SUM(O12:O14)</f>
        <v>22000</v>
      </c>
      <c r="P15" s="208"/>
      <c r="Q15" s="209">
        <f t="shared" ref="Q15:AB15" si="13">SUM(Q12:Q14)</f>
        <v>5125.12</v>
      </c>
      <c r="R15" s="209">
        <f t="shared" si="13"/>
        <v>49230.720000000001</v>
      </c>
      <c r="S15" s="209">
        <f t="shared" si="13"/>
        <v>211670.72</v>
      </c>
      <c r="T15" s="209">
        <f t="shared" si="13"/>
        <v>0</v>
      </c>
      <c r="U15" s="209">
        <f t="shared" si="13"/>
        <v>0</v>
      </c>
      <c r="V15" s="209">
        <f t="shared" si="13"/>
        <v>0</v>
      </c>
      <c r="W15" s="209">
        <f t="shared" si="13"/>
        <v>247187.30289333331</v>
      </c>
      <c r="X15" s="209">
        <f t="shared" si="13"/>
        <v>238911.47908991924</v>
      </c>
      <c r="Y15" s="209">
        <f t="shared" si="13"/>
        <v>423341.44</v>
      </c>
      <c r="Z15" s="209">
        <f t="shared" si="13"/>
        <v>2391135.2619832526</v>
      </c>
      <c r="AA15" s="209">
        <f t="shared" si="13"/>
        <v>339444.43429211096</v>
      </c>
      <c r="AB15" s="209">
        <f t="shared" si="13"/>
        <v>2730579.6962753637</v>
      </c>
      <c r="AC15" s="243"/>
      <c r="AD15" s="243"/>
      <c r="AE15" s="243"/>
    </row>
    <row r="16" spans="1:32">
      <c r="A16" s="480" t="s">
        <v>214</v>
      </c>
      <c r="B16" s="481"/>
      <c r="C16" s="481"/>
      <c r="D16" s="481"/>
      <c r="E16" s="481"/>
      <c r="F16" s="481"/>
      <c r="G16" s="481"/>
      <c r="H16" s="481"/>
      <c r="I16" s="481"/>
      <c r="J16" s="481"/>
      <c r="K16" s="481"/>
      <c r="L16" s="481"/>
      <c r="M16" s="481"/>
      <c r="N16" s="481"/>
      <c r="O16" s="481"/>
      <c r="P16" s="481"/>
      <c r="Q16" s="481"/>
      <c r="R16" s="481"/>
      <c r="S16" s="481"/>
      <c r="T16" s="481"/>
      <c r="U16" s="481"/>
      <c r="V16" s="481"/>
      <c r="W16" s="481"/>
      <c r="X16" s="481"/>
      <c r="Y16" s="481"/>
      <c r="Z16" s="481"/>
      <c r="AA16" s="481"/>
      <c r="AB16" s="482"/>
      <c r="AE16" s="86"/>
    </row>
    <row r="17" spans="1:32">
      <c r="A17" s="20">
        <v>4</v>
      </c>
      <c r="B17" s="76" t="s">
        <v>215</v>
      </c>
      <c r="C17" s="87">
        <v>2</v>
      </c>
      <c r="D17" s="169">
        <v>7040</v>
      </c>
      <c r="E17" s="88">
        <v>1</v>
      </c>
      <c r="F17" s="169">
        <f t="shared" ref="F17:F19" si="14">+E17*D17</f>
        <v>7040</v>
      </c>
      <c r="G17" s="140"/>
      <c r="H17" s="169"/>
      <c r="I17" s="139"/>
      <c r="J17" s="140"/>
      <c r="K17" s="141"/>
      <c r="L17" s="141"/>
      <c r="M17" s="141"/>
      <c r="N17" s="141"/>
      <c r="O17" s="169">
        <v>12000</v>
      </c>
      <c r="P17" s="89"/>
      <c r="Q17" s="141">
        <f t="shared" ref="Q17" si="15">+F17*P17</f>
        <v>0</v>
      </c>
      <c r="R17" s="85">
        <f t="shared" ref="R17:R19" si="16">+F17+H17+I17+K17+O17+Q17</f>
        <v>19040</v>
      </c>
      <c r="S17" s="85">
        <f t="shared" ref="S17:S19" si="17">R17*C17</f>
        <v>38080</v>
      </c>
      <c r="T17" s="85"/>
      <c r="U17" s="85"/>
      <c r="V17" s="85"/>
      <c r="W17" s="85">
        <f t="shared" ref="W17:W19" si="18">(S17*14.0135)/12</f>
        <v>44469.506666666675</v>
      </c>
      <c r="X17" s="169">
        <f t="shared" ref="X17:X19" si="19">(((S17+(W17*14.0135/12/12)))*3/3/29.6)*30</f>
        <v>42980.668860313432</v>
      </c>
      <c r="Y17" s="85">
        <f t="shared" ref="Y17:Y19" si="20">S17*2</f>
        <v>76160</v>
      </c>
      <c r="Z17" s="169">
        <f t="shared" ref="Z17:Z19" si="21">(S17*7)+T17+U17+W17+X17+Y17</f>
        <v>430170.17552698008</v>
      </c>
      <c r="AA17" s="169">
        <f t="shared" ref="AA17:AA19" si="22">((S17*7)+T17+X17+W17)*0.1725</f>
        <v>61066.75527840406</v>
      </c>
      <c r="AB17" s="169">
        <f>Z17+AA17</f>
        <v>491236.93080538412</v>
      </c>
    </row>
    <row r="18" spans="1:32">
      <c r="A18" s="20">
        <v>5</v>
      </c>
      <c r="B18" s="76" t="s">
        <v>32</v>
      </c>
      <c r="C18" s="87">
        <v>1</v>
      </c>
      <c r="D18" s="169">
        <v>7040</v>
      </c>
      <c r="E18" s="88">
        <v>1.1399999999999999</v>
      </c>
      <c r="F18" s="169">
        <f t="shared" si="14"/>
        <v>8025.5999999999995</v>
      </c>
      <c r="G18" s="140"/>
      <c r="H18" s="169"/>
      <c r="I18" s="139"/>
      <c r="J18" s="140"/>
      <c r="K18" s="141"/>
      <c r="L18" s="141"/>
      <c r="M18" s="141"/>
      <c r="N18" s="141"/>
      <c r="O18" s="169">
        <v>5000</v>
      </c>
      <c r="P18" s="89">
        <v>0.15</v>
      </c>
      <c r="Q18" s="85">
        <f>+F18*P18</f>
        <v>1203.8399999999999</v>
      </c>
      <c r="R18" s="85">
        <f t="shared" si="16"/>
        <v>14229.439999999999</v>
      </c>
      <c r="S18" s="85">
        <f t="shared" si="17"/>
        <v>14229.439999999999</v>
      </c>
      <c r="T18" s="85"/>
      <c r="U18" s="85"/>
      <c r="V18" s="85"/>
      <c r="W18" s="85">
        <f t="shared" si="18"/>
        <v>16617.021453333331</v>
      </c>
      <c r="X18" s="169">
        <f t="shared" si="19"/>
        <v>16060.684052197965</v>
      </c>
      <c r="Y18" s="85">
        <f t="shared" si="20"/>
        <v>28458.879999999997</v>
      </c>
      <c r="Z18" s="169">
        <f t="shared" si="21"/>
        <v>160742.6655055313</v>
      </c>
      <c r="AA18" s="169">
        <f t="shared" si="22"/>
        <v>22818.952999704143</v>
      </c>
      <c r="AB18" s="169">
        <f t="shared" ref="AB18:AB19" si="23">Z18+AA18</f>
        <v>183561.61850523544</v>
      </c>
    </row>
    <row r="19" spans="1:32">
      <c r="A19" s="20">
        <v>6</v>
      </c>
      <c r="B19" s="77" t="s">
        <v>212</v>
      </c>
      <c r="C19" s="87">
        <v>4</v>
      </c>
      <c r="D19" s="169">
        <v>7040</v>
      </c>
      <c r="E19" s="88">
        <v>1</v>
      </c>
      <c r="F19" s="169">
        <f t="shared" si="14"/>
        <v>7040</v>
      </c>
      <c r="G19" s="140"/>
      <c r="H19" s="169"/>
      <c r="I19" s="139"/>
      <c r="J19" s="140"/>
      <c r="K19" s="141"/>
      <c r="L19" s="141"/>
      <c r="M19" s="141"/>
      <c r="N19" s="141"/>
      <c r="O19" s="169">
        <v>6000</v>
      </c>
      <c r="P19" s="89">
        <v>0.5</v>
      </c>
      <c r="Q19" s="85">
        <f t="shared" ref="Q19" si="24">+F19*P19</f>
        <v>3520</v>
      </c>
      <c r="R19" s="85">
        <f t="shared" si="16"/>
        <v>16560</v>
      </c>
      <c r="S19" s="85">
        <f t="shared" si="17"/>
        <v>66240</v>
      </c>
      <c r="T19" s="85"/>
      <c r="U19" s="85"/>
      <c r="V19" s="85"/>
      <c r="W19" s="85">
        <f t="shared" si="18"/>
        <v>77354.52</v>
      </c>
      <c r="X19" s="169">
        <f t="shared" si="19"/>
        <v>74764.692891469589</v>
      </c>
      <c r="Y19" s="85">
        <f t="shared" si="20"/>
        <v>132480</v>
      </c>
      <c r="Z19" s="169">
        <f t="shared" si="21"/>
        <v>748279.21289146959</v>
      </c>
      <c r="AA19" s="169">
        <f t="shared" si="22"/>
        <v>106225.3642237785</v>
      </c>
      <c r="AB19" s="169">
        <f t="shared" si="23"/>
        <v>854504.57711524807</v>
      </c>
    </row>
    <row r="20" spans="1:32" s="182" customFormat="1">
      <c r="A20" s="16"/>
      <c r="B20" s="14" t="s">
        <v>213</v>
      </c>
      <c r="C20" s="185">
        <f>SUM(C17:C19)</f>
        <v>7</v>
      </c>
      <c r="D20" s="132"/>
      <c r="E20" s="186"/>
      <c r="F20" s="132">
        <f>SUM(F17:F19)</f>
        <v>22105.599999999999</v>
      </c>
      <c r="G20" s="138"/>
      <c r="H20" s="132"/>
      <c r="I20" s="81"/>
      <c r="J20" s="138"/>
      <c r="K20" s="143"/>
      <c r="L20" s="143"/>
      <c r="M20" s="143"/>
      <c r="N20" s="143"/>
      <c r="O20" s="132">
        <f>SUM(O17:O19)</f>
        <v>23000</v>
      </c>
      <c r="P20" s="187"/>
      <c r="Q20" s="132">
        <f t="shared" ref="Q20:AB20" si="25">SUM(Q17:Q19)</f>
        <v>4723.84</v>
      </c>
      <c r="R20" s="132">
        <f t="shared" si="25"/>
        <v>49829.440000000002</v>
      </c>
      <c r="S20" s="132">
        <f t="shared" si="25"/>
        <v>118549.44</v>
      </c>
      <c r="T20" s="132">
        <f t="shared" si="25"/>
        <v>0</v>
      </c>
      <c r="U20" s="132">
        <f t="shared" si="25"/>
        <v>0</v>
      </c>
      <c r="V20" s="132">
        <f t="shared" si="25"/>
        <v>0</v>
      </c>
      <c r="W20" s="132">
        <f t="shared" si="25"/>
        <v>138441.04811999999</v>
      </c>
      <c r="X20" s="132">
        <f t="shared" si="25"/>
        <v>133806.04580398099</v>
      </c>
      <c r="Y20" s="132">
        <f t="shared" si="25"/>
        <v>237098.88</v>
      </c>
      <c r="Z20" s="132">
        <f t="shared" si="25"/>
        <v>1339192.0539239808</v>
      </c>
      <c r="AA20" s="132">
        <f t="shared" si="25"/>
        <v>190111.07250188669</v>
      </c>
      <c r="AB20" s="132">
        <f t="shared" si="25"/>
        <v>1529303.1264258677</v>
      </c>
    </row>
    <row r="21" spans="1:32">
      <c r="A21" s="480" t="s">
        <v>216</v>
      </c>
      <c r="B21" s="481"/>
      <c r="C21" s="481"/>
      <c r="D21" s="481"/>
      <c r="E21" s="481"/>
      <c r="F21" s="481"/>
      <c r="G21" s="481"/>
      <c r="H21" s="481"/>
      <c r="I21" s="481"/>
      <c r="J21" s="481"/>
      <c r="K21" s="481"/>
      <c r="L21" s="481"/>
      <c r="M21" s="481"/>
      <c r="N21" s="481"/>
      <c r="O21" s="481"/>
      <c r="P21" s="481"/>
      <c r="Q21" s="481"/>
      <c r="R21" s="481"/>
      <c r="S21" s="481"/>
      <c r="T21" s="481"/>
      <c r="U21" s="481"/>
      <c r="V21" s="481"/>
      <c r="W21" s="481"/>
      <c r="X21" s="481"/>
      <c r="Y21" s="481"/>
      <c r="Z21" s="481"/>
      <c r="AA21" s="481"/>
      <c r="AB21" s="482"/>
    </row>
    <row r="22" spans="1:32">
      <c r="A22" s="20">
        <v>7</v>
      </c>
      <c r="B22" s="77" t="s">
        <v>217</v>
      </c>
      <c r="C22" s="87">
        <v>4</v>
      </c>
      <c r="D22" s="169">
        <v>7040</v>
      </c>
      <c r="E22" s="88">
        <v>1</v>
      </c>
      <c r="F22" s="169">
        <f t="shared" ref="F22:F24" si="26">+E22*D22</f>
        <v>7040</v>
      </c>
      <c r="G22" s="89"/>
      <c r="H22" s="169"/>
      <c r="I22" s="139"/>
      <c r="J22" s="140"/>
      <c r="K22" s="141"/>
      <c r="L22" s="141">
        <f>K22*2</f>
        <v>0</v>
      </c>
      <c r="M22" s="141"/>
      <c r="N22" s="141"/>
      <c r="O22" s="169">
        <v>5000</v>
      </c>
      <c r="P22" s="89">
        <v>0.5</v>
      </c>
      <c r="Q22" s="85">
        <f>+F22*P22</f>
        <v>3520</v>
      </c>
      <c r="R22" s="85">
        <f t="shared" ref="R22:R24" si="27">+F22+H22+I22+K22+O22+Q22</f>
        <v>15560</v>
      </c>
      <c r="S22" s="85">
        <f t="shared" ref="S22:S24" si="28">R22*C22</f>
        <v>62240</v>
      </c>
      <c r="T22" s="85"/>
      <c r="U22" s="85"/>
      <c r="V22" s="85"/>
      <c r="W22" s="85">
        <f t="shared" ref="W22:W24" si="29">(S22*14.0135)/12</f>
        <v>72683.353333333333</v>
      </c>
      <c r="X22" s="169">
        <f t="shared" ref="X22:X24" si="30">(((S22+(W22*14.0135/12/12)))*3/3/29.6)*30</f>
        <v>70249.916750680364</v>
      </c>
      <c r="Y22" s="85">
        <f t="shared" ref="Y22:Y24" si="31">S22*2</f>
        <v>124480</v>
      </c>
      <c r="Z22" s="169">
        <f t="shared" ref="Z22:Z24" si="32">(S22*7)+T22+U22+W22+X22+Y22</f>
        <v>703093.2700840137</v>
      </c>
      <c r="AA22" s="169">
        <f t="shared" ref="AA22:AA24" si="33">((S22*7)+T22+X22+W22)*0.1725</f>
        <v>99810.789089492362</v>
      </c>
      <c r="AB22" s="169">
        <f>Z22+AA22</f>
        <v>802904.0591735061</v>
      </c>
    </row>
    <row r="23" spans="1:32">
      <c r="A23" s="20">
        <v>8</v>
      </c>
      <c r="B23" s="77" t="s">
        <v>218</v>
      </c>
      <c r="C23" s="87">
        <v>2</v>
      </c>
      <c r="D23" s="169">
        <v>7040</v>
      </c>
      <c r="E23" s="88">
        <v>1</v>
      </c>
      <c r="F23" s="169">
        <f t="shared" si="26"/>
        <v>7040</v>
      </c>
      <c r="G23" s="89"/>
      <c r="H23" s="169"/>
      <c r="I23" s="139"/>
      <c r="J23" s="140"/>
      <c r="K23" s="141"/>
      <c r="L23" s="141"/>
      <c r="M23" s="141"/>
      <c r="N23" s="141"/>
      <c r="O23" s="169">
        <v>13000</v>
      </c>
      <c r="P23" s="89"/>
      <c r="Q23" s="141"/>
      <c r="R23" s="85">
        <f t="shared" si="27"/>
        <v>20040</v>
      </c>
      <c r="S23" s="85">
        <f t="shared" si="28"/>
        <v>40080</v>
      </c>
      <c r="T23" s="85"/>
      <c r="U23" s="85"/>
      <c r="V23" s="85"/>
      <c r="W23" s="85">
        <f t="shared" si="29"/>
        <v>46805.090000000004</v>
      </c>
      <c r="X23" s="169">
        <f t="shared" si="30"/>
        <v>45238.056930708037</v>
      </c>
      <c r="Y23" s="85">
        <f t="shared" si="31"/>
        <v>80160</v>
      </c>
      <c r="Z23" s="169">
        <f t="shared" si="32"/>
        <v>452763.14693070808</v>
      </c>
      <c r="AA23" s="169">
        <f t="shared" si="33"/>
        <v>64274.042845547141</v>
      </c>
      <c r="AB23" s="169">
        <f t="shared" ref="AB23:AB24" si="34">Z23+AA23</f>
        <v>517037.18977625523</v>
      </c>
    </row>
    <row r="24" spans="1:32">
      <c r="A24" s="20">
        <v>9</v>
      </c>
      <c r="B24" s="76" t="s">
        <v>32</v>
      </c>
      <c r="C24" s="87">
        <v>1</v>
      </c>
      <c r="D24" s="169">
        <v>7040</v>
      </c>
      <c r="E24" s="88">
        <v>1.1399999999999999</v>
      </c>
      <c r="F24" s="169">
        <f t="shared" si="26"/>
        <v>8025.5999999999995</v>
      </c>
      <c r="G24" s="89"/>
      <c r="H24" s="169"/>
      <c r="I24" s="139"/>
      <c r="J24" s="140"/>
      <c r="K24" s="141"/>
      <c r="L24" s="141">
        <f t="shared" ref="L24" si="35">K24</f>
        <v>0</v>
      </c>
      <c r="M24" s="141"/>
      <c r="N24" s="141"/>
      <c r="O24" s="169">
        <v>4000</v>
      </c>
      <c r="P24" s="89">
        <v>0.2</v>
      </c>
      <c r="Q24" s="85">
        <f>+F24*P24</f>
        <v>1605.12</v>
      </c>
      <c r="R24" s="85">
        <f t="shared" si="27"/>
        <v>13630.719999999998</v>
      </c>
      <c r="S24" s="85">
        <f t="shared" si="28"/>
        <v>13630.719999999998</v>
      </c>
      <c r="T24" s="85"/>
      <c r="U24" s="85"/>
      <c r="V24" s="85"/>
      <c r="W24" s="85">
        <f t="shared" si="29"/>
        <v>15917.841226666664</v>
      </c>
      <c r="X24" s="169">
        <f t="shared" si="30"/>
        <v>15384.912359444628</v>
      </c>
      <c r="Y24" s="85">
        <f t="shared" si="31"/>
        <v>27261.439999999995</v>
      </c>
      <c r="Z24" s="169">
        <f t="shared" si="32"/>
        <v>153979.23358611128</v>
      </c>
      <c r="AA24" s="169">
        <f t="shared" si="33"/>
        <v>21858.819393604193</v>
      </c>
      <c r="AB24" s="169">
        <f t="shared" si="34"/>
        <v>175838.05297971546</v>
      </c>
    </row>
    <row r="25" spans="1:32" s="182" customFormat="1">
      <c r="A25" s="16"/>
      <c r="B25" s="14" t="s">
        <v>213</v>
      </c>
      <c r="C25" s="185">
        <f>SUM(C22:C24)</f>
        <v>7</v>
      </c>
      <c r="D25" s="132"/>
      <c r="E25" s="186"/>
      <c r="F25" s="132">
        <f>SUM(F22:F24)</f>
        <v>22105.599999999999</v>
      </c>
      <c r="G25" s="138"/>
      <c r="H25" s="132"/>
      <c r="I25" s="81"/>
      <c r="J25" s="138"/>
      <c r="K25" s="143"/>
      <c r="L25" s="143"/>
      <c r="M25" s="143"/>
      <c r="N25" s="143"/>
      <c r="O25" s="132">
        <f>SUM(O22:O24)</f>
        <v>22000</v>
      </c>
      <c r="P25" s="187"/>
      <c r="Q25" s="132">
        <f t="shared" ref="Q25:AB25" si="36">SUM(Q22:Q24)</f>
        <v>5125.12</v>
      </c>
      <c r="R25" s="132">
        <f t="shared" si="36"/>
        <v>49230.720000000001</v>
      </c>
      <c r="S25" s="132">
        <f t="shared" si="36"/>
        <v>115950.72</v>
      </c>
      <c r="T25" s="132">
        <f t="shared" si="36"/>
        <v>0</v>
      </c>
      <c r="U25" s="132">
        <f t="shared" si="36"/>
        <v>0</v>
      </c>
      <c r="V25" s="132">
        <f t="shared" si="36"/>
        <v>0</v>
      </c>
      <c r="W25" s="132">
        <f t="shared" si="36"/>
        <v>135406.28456</v>
      </c>
      <c r="X25" s="132">
        <f t="shared" si="36"/>
        <v>130872.88604083302</v>
      </c>
      <c r="Y25" s="132">
        <f t="shared" si="36"/>
        <v>231901.44</v>
      </c>
      <c r="Z25" s="132">
        <f t="shared" si="36"/>
        <v>1309835.6506008331</v>
      </c>
      <c r="AA25" s="132">
        <f t="shared" si="36"/>
        <v>185943.65132864367</v>
      </c>
      <c r="AB25" s="132">
        <f t="shared" si="36"/>
        <v>1495779.3019294767</v>
      </c>
      <c r="AC25" s="181"/>
    </row>
    <row r="26" spans="1:32" s="182" customFormat="1">
      <c r="A26" s="16"/>
      <c r="B26" s="14" t="s">
        <v>18</v>
      </c>
      <c r="C26" s="185">
        <f>C15+C20+C25</f>
        <v>26</v>
      </c>
      <c r="D26" s="210"/>
      <c r="E26" s="186"/>
      <c r="F26" s="132">
        <f>F15+F20+F25</f>
        <v>66316.799999999988</v>
      </c>
      <c r="G26" s="132"/>
      <c r="H26" s="132"/>
      <c r="I26" s="132"/>
      <c r="J26" s="132"/>
      <c r="K26" s="132"/>
      <c r="L26" s="132"/>
      <c r="M26" s="132"/>
      <c r="N26" s="132"/>
      <c r="O26" s="132">
        <f t="shared" ref="O26:AB26" si="37">O15+O20+O25</f>
        <v>67000</v>
      </c>
      <c r="P26" s="132"/>
      <c r="Q26" s="132">
        <f t="shared" si="37"/>
        <v>14974.079999999998</v>
      </c>
      <c r="R26" s="132">
        <f t="shared" si="37"/>
        <v>148290.88</v>
      </c>
      <c r="S26" s="132">
        <f t="shared" si="37"/>
        <v>446170.88</v>
      </c>
      <c r="T26" s="132">
        <f t="shared" si="37"/>
        <v>0</v>
      </c>
      <c r="U26" s="132">
        <f t="shared" si="37"/>
        <v>0</v>
      </c>
      <c r="V26" s="132">
        <f t="shared" si="37"/>
        <v>0</v>
      </c>
      <c r="W26" s="132">
        <f t="shared" si="37"/>
        <v>521034.6355733333</v>
      </c>
      <c r="X26" s="132">
        <f t="shared" si="37"/>
        <v>503590.41093473329</v>
      </c>
      <c r="Y26" s="132">
        <f t="shared" si="37"/>
        <v>892341.76000000001</v>
      </c>
      <c r="Z26" s="132">
        <f t="shared" si="37"/>
        <v>5040162.9665080663</v>
      </c>
      <c r="AA26" s="132">
        <f t="shared" si="37"/>
        <v>715499.15812264138</v>
      </c>
      <c r="AB26" s="132">
        <f t="shared" si="37"/>
        <v>5755662.1246307082</v>
      </c>
    </row>
    <row r="27" spans="1:32" ht="13.9" customHeight="1">
      <c r="A27" s="480" t="s">
        <v>355</v>
      </c>
      <c r="B27" s="481"/>
      <c r="C27" s="481"/>
      <c r="D27" s="481"/>
      <c r="E27" s="481"/>
      <c r="F27" s="481"/>
      <c r="G27" s="481"/>
      <c r="H27" s="481"/>
      <c r="I27" s="481"/>
      <c r="J27" s="481"/>
      <c r="K27" s="481"/>
      <c r="L27" s="481"/>
      <c r="M27" s="481"/>
      <c r="N27" s="481"/>
      <c r="O27" s="481"/>
      <c r="P27" s="481"/>
      <c r="Q27" s="481"/>
      <c r="R27" s="481"/>
      <c r="S27" s="481"/>
      <c r="T27" s="481"/>
      <c r="U27" s="481"/>
      <c r="V27" s="481"/>
      <c r="W27" s="481"/>
      <c r="X27" s="481"/>
      <c r="Y27" s="481"/>
      <c r="Z27" s="481"/>
      <c r="AA27" s="481"/>
      <c r="AB27" s="482"/>
    </row>
    <row r="28" spans="1:32" ht="13.9" customHeight="1">
      <c r="A28" s="480" t="s">
        <v>210</v>
      </c>
      <c r="B28" s="481"/>
      <c r="C28" s="481"/>
      <c r="D28" s="481"/>
      <c r="E28" s="481"/>
      <c r="F28" s="481"/>
      <c r="G28" s="481"/>
      <c r="H28" s="481"/>
      <c r="I28" s="481"/>
      <c r="J28" s="481"/>
      <c r="K28" s="481"/>
      <c r="L28" s="481"/>
      <c r="M28" s="481"/>
      <c r="N28" s="481"/>
      <c r="O28" s="481"/>
      <c r="P28" s="481"/>
      <c r="Q28" s="481"/>
      <c r="R28" s="481"/>
      <c r="S28" s="481"/>
      <c r="T28" s="481"/>
      <c r="U28" s="481"/>
      <c r="V28" s="481"/>
      <c r="W28" s="481"/>
      <c r="X28" s="481"/>
      <c r="Y28" s="481"/>
      <c r="Z28" s="481"/>
      <c r="AA28" s="481"/>
      <c r="AB28" s="482"/>
      <c r="AE28" s="86"/>
      <c r="AF28" s="86"/>
    </row>
    <row r="29" spans="1:32">
      <c r="A29" s="20">
        <v>1</v>
      </c>
      <c r="B29" s="76" t="s">
        <v>32</v>
      </c>
      <c r="C29" s="87">
        <v>1</v>
      </c>
      <c r="D29" s="169">
        <v>7040</v>
      </c>
      <c r="E29" s="88">
        <v>1.4</v>
      </c>
      <c r="F29" s="169">
        <f t="shared" ref="F29:F31" si="38">+E29*D29</f>
        <v>9856</v>
      </c>
      <c r="G29" s="89"/>
      <c r="H29" s="169"/>
      <c r="I29" s="139"/>
      <c r="J29" s="140"/>
      <c r="K29" s="141"/>
      <c r="L29" s="141">
        <f t="shared" ref="L29" si="39">K29</f>
        <v>0</v>
      </c>
      <c r="M29" s="141"/>
      <c r="N29" s="141"/>
      <c r="O29" s="169">
        <v>4000</v>
      </c>
      <c r="P29" s="89">
        <v>0.2</v>
      </c>
      <c r="Q29" s="85">
        <f>+F29*P29</f>
        <v>1971.2</v>
      </c>
      <c r="R29" s="85">
        <f>+F29+H29+I29+K29+O29+Q29</f>
        <v>15827.2</v>
      </c>
      <c r="S29" s="85">
        <f t="shared" ref="S29:S31" si="40">R29*C29</f>
        <v>15827.2</v>
      </c>
      <c r="T29" s="85"/>
      <c r="U29" s="85"/>
      <c r="V29" s="85"/>
      <c r="W29" s="85">
        <f t="shared" ref="W29:W31" si="41">(S29*14.0135)/12</f>
        <v>18482.872266666669</v>
      </c>
      <c r="X29" s="169">
        <f t="shared" ref="X29:X31" si="42">(((S29+(W29*14.0135/12/12)))*3/3/29.6)*30</f>
        <v>17864.066233874812</v>
      </c>
      <c r="Y29" s="85">
        <f t="shared" ref="Y29:Y31" si="43">S29*2</f>
        <v>31654.400000000001</v>
      </c>
      <c r="Z29" s="169">
        <f t="shared" ref="Z29:Z31" si="44">(S29*7)+T29+U29+W29+X29+Y29</f>
        <v>178791.73850054148</v>
      </c>
      <c r="AA29" s="169">
        <f t="shared" ref="AA29:AA31" si="45">((S29*7)+T29+X29+W29)*0.1725</f>
        <v>25381.190891343405</v>
      </c>
      <c r="AB29" s="169">
        <f>Z29+AA29</f>
        <v>204172.92939188489</v>
      </c>
    </row>
    <row r="30" spans="1:32">
      <c r="A30" s="20">
        <v>2</v>
      </c>
      <c r="B30" s="76" t="s">
        <v>211</v>
      </c>
      <c r="C30" s="87">
        <v>6</v>
      </c>
      <c r="D30" s="169">
        <v>7040</v>
      </c>
      <c r="E30" s="88">
        <v>1.2</v>
      </c>
      <c r="F30" s="169">
        <f t="shared" si="38"/>
        <v>8448</v>
      </c>
      <c r="G30" s="89"/>
      <c r="H30" s="169"/>
      <c r="I30" s="139"/>
      <c r="J30" s="140"/>
      <c r="K30" s="141"/>
      <c r="L30" s="141">
        <f t="shared" ref="L30" si="46">K30*7</f>
        <v>0</v>
      </c>
      <c r="M30" s="141"/>
      <c r="N30" s="141"/>
      <c r="O30" s="169">
        <v>13000</v>
      </c>
      <c r="P30" s="89"/>
      <c r="Q30" s="85"/>
      <c r="R30" s="85">
        <f t="shared" ref="R30:R31" si="47">+F30+H30+I30+K30+O30+Q30</f>
        <v>21448</v>
      </c>
      <c r="S30" s="85">
        <f t="shared" si="40"/>
        <v>128688</v>
      </c>
      <c r="T30" s="85"/>
      <c r="U30" s="85"/>
      <c r="V30" s="85"/>
      <c r="W30" s="85">
        <f t="shared" si="41"/>
        <v>150280.774</v>
      </c>
      <c r="X30" s="169">
        <f t="shared" si="42"/>
        <v>145249.37800147099</v>
      </c>
      <c r="Y30" s="85">
        <f t="shared" si="43"/>
        <v>257376</v>
      </c>
      <c r="Z30" s="169">
        <f t="shared" si="44"/>
        <v>1453722.152001471</v>
      </c>
      <c r="AA30" s="169">
        <f t="shared" si="45"/>
        <v>206369.71122025372</v>
      </c>
      <c r="AB30" s="169">
        <f t="shared" ref="AB30:AB31" si="48">Z30+AA30</f>
        <v>1660091.8632217248</v>
      </c>
      <c r="AE30" s="86"/>
      <c r="AF30" s="86"/>
    </row>
    <row r="31" spans="1:32">
      <c r="A31" s="20">
        <v>3</v>
      </c>
      <c r="B31" s="77" t="s">
        <v>212</v>
      </c>
      <c r="C31" s="87">
        <v>5</v>
      </c>
      <c r="D31" s="169">
        <v>7040</v>
      </c>
      <c r="E31" s="88">
        <v>1.2</v>
      </c>
      <c r="F31" s="169">
        <f t="shared" si="38"/>
        <v>8448</v>
      </c>
      <c r="G31" s="89"/>
      <c r="H31" s="169"/>
      <c r="I31" s="139"/>
      <c r="J31" s="140"/>
      <c r="K31" s="141"/>
      <c r="L31" s="141">
        <f t="shared" ref="L31" si="49">K31*4</f>
        <v>0</v>
      </c>
      <c r="M31" s="141"/>
      <c r="N31" s="141"/>
      <c r="O31" s="169">
        <v>5000</v>
      </c>
      <c r="P31" s="89">
        <v>0.5</v>
      </c>
      <c r="Q31" s="85">
        <f t="shared" ref="Q31" si="50">+F31*P31</f>
        <v>4224</v>
      </c>
      <c r="R31" s="85">
        <f t="shared" si="47"/>
        <v>17672</v>
      </c>
      <c r="S31" s="85">
        <f t="shared" si="40"/>
        <v>88360</v>
      </c>
      <c r="T31" s="85"/>
      <c r="U31" s="85"/>
      <c r="V31" s="85"/>
      <c r="W31" s="85">
        <f t="shared" si="41"/>
        <v>103186.07166666667</v>
      </c>
      <c r="X31" s="169">
        <f t="shared" si="42"/>
        <v>99731.404950034019</v>
      </c>
      <c r="Y31" s="85">
        <f t="shared" si="43"/>
        <v>176720</v>
      </c>
      <c r="Z31" s="169">
        <f t="shared" si="44"/>
        <v>998157.47661670065</v>
      </c>
      <c r="AA31" s="169">
        <f t="shared" si="45"/>
        <v>141697.96471638084</v>
      </c>
      <c r="AB31" s="169">
        <f t="shared" si="48"/>
        <v>1139855.4413330816</v>
      </c>
      <c r="AC31" s="86"/>
    </row>
    <row r="32" spans="1:32" s="244" customFormat="1">
      <c r="A32" s="16"/>
      <c r="B32" s="14" t="s">
        <v>213</v>
      </c>
      <c r="C32" s="14">
        <f>SUM(C29:C31)</f>
        <v>12</v>
      </c>
      <c r="D32" s="209"/>
      <c r="E32" s="242"/>
      <c r="F32" s="209">
        <f>SUM(F29:F31)</f>
        <v>26752</v>
      </c>
      <c r="G32" s="208"/>
      <c r="H32" s="209"/>
      <c r="I32" s="208"/>
      <c r="J32" s="208"/>
      <c r="K32" s="208"/>
      <c r="L32" s="208"/>
      <c r="M32" s="208"/>
      <c r="N32" s="208"/>
      <c r="O32" s="209">
        <f>SUM(O29:O31)</f>
        <v>22000</v>
      </c>
      <c r="P32" s="208"/>
      <c r="Q32" s="209">
        <f t="shared" ref="Q32:AB32" si="51">SUM(Q29:Q31)</f>
        <v>6195.2</v>
      </c>
      <c r="R32" s="209">
        <f t="shared" si="51"/>
        <v>54947.199999999997</v>
      </c>
      <c r="S32" s="209">
        <f t="shared" si="51"/>
        <v>232875.2</v>
      </c>
      <c r="T32" s="209">
        <f t="shared" si="51"/>
        <v>0</v>
      </c>
      <c r="U32" s="209">
        <f t="shared" si="51"/>
        <v>0</v>
      </c>
      <c r="V32" s="209">
        <f t="shared" si="51"/>
        <v>0</v>
      </c>
      <c r="W32" s="209">
        <f t="shared" si="51"/>
        <v>271949.71793333336</v>
      </c>
      <c r="X32" s="209">
        <f t="shared" si="51"/>
        <v>262844.8491853798</v>
      </c>
      <c r="Y32" s="209">
        <f t="shared" si="51"/>
        <v>465750.4</v>
      </c>
      <c r="Z32" s="209">
        <f t="shared" si="51"/>
        <v>2630671.3671187134</v>
      </c>
      <c r="AA32" s="209">
        <f t="shared" si="51"/>
        <v>373448.86682797794</v>
      </c>
      <c r="AB32" s="209">
        <f t="shared" si="51"/>
        <v>3004120.2339466913</v>
      </c>
      <c r="AC32" s="243"/>
      <c r="AD32" s="243"/>
      <c r="AE32" s="243"/>
    </row>
    <row r="33" spans="1:31">
      <c r="A33" s="480" t="s">
        <v>214</v>
      </c>
      <c r="B33" s="481"/>
      <c r="C33" s="481"/>
      <c r="D33" s="481"/>
      <c r="E33" s="481"/>
      <c r="F33" s="481"/>
      <c r="G33" s="481"/>
      <c r="H33" s="481"/>
      <c r="I33" s="481"/>
      <c r="J33" s="481"/>
      <c r="K33" s="481"/>
      <c r="L33" s="481"/>
      <c r="M33" s="481"/>
      <c r="N33" s="481"/>
      <c r="O33" s="481"/>
      <c r="P33" s="481"/>
      <c r="Q33" s="481"/>
      <c r="R33" s="481"/>
      <c r="S33" s="481"/>
      <c r="T33" s="481"/>
      <c r="U33" s="481"/>
      <c r="V33" s="481"/>
      <c r="W33" s="481"/>
      <c r="X33" s="481"/>
      <c r="Y33" s="481"/>
      <c r="Z33" s="481"/>
      <c r="AA33" s="481"/>
      <c r="AB33" s="482"/>
      <c r="AE33" s="86"/>
    </row>
    <row r="34" spans="1:31">
      <c r="A34" s="20">
        <v>4</v>
      </c>
      <c r="B34" s="76" t="s">
        <v>215</v>
      </c>
      <c r="C34" s="87">
        <v>2</v>
      </c>
      <c r="D34" s="169">
        <v>7040</v>
      </c>
      <c r="E34" s="88">
        <v>1.2</v>
      </c>
      <c r="F34" s="169">
        <f t="shared" ref="F34:F36" si="52">+E34*D34</f>
        <v>8448</v>
      </c>
      <c r="G34" s="140"/>
      <c r="H34" s="169"/>
      <c r="I34" s="139"/>
      <c r="J34" s="140"/>
      <c r="K34" s="141"/>
      <c r="L34" s="141"/>
      <c r="M34" s="141"/>
      <c r="N34" s="141"/>
      <c r="O34" s="169">
        <v>12000</v>
      </c>
      <c r="P34" s="89"/>
      <c r="Q34" s="141">
        <f t="shared" ref="Q34" si="53">+F34*P34</f>
        <v>0</v>
      </c>
      <c r="R34" s="85">
        <f t="shared" ref="R34:R36" si="54">+F34+H34+I34+K34+O34+Q34</f>
        <v>20448</v>
      </c>
      <c r="S34" s="85">
        <f t="shared" ref="S34:S36" si="55">R34*C34</f>
        <v>40896</v>
      </c>
      <c r="T34" s="85"/>
      <c r="U34" s="85"/>
      <c r="V34" s="85"/>
      <c r="W34" s="85">
        <f t="shared" ref="W34:W36" si="56">(S34*14.0135)/12</f>
        <v>47758.008000000002</v>
      </c>
      <c r="X34" s="169">
        <f t="shared" ref="X34:X36" si="57">(((S34+(W34*14.0135/12/12)))*3/3/29.6)*30</f>
        <v>46159.071263429054</v>
      </c>
      <c r="Y34" s="85">
        <f t="shared" ref="Y34:Y36" si="58">S34*2</f>
        <v>81792</v>
      </c>
      <c r="Z34" s="169">
        <f t="shared" ref="Z34:Z36" si="59">(S34*7)+T34+U34+W34+X34+Y34</f>
        <v>461981.0792634291</v>
      </c>
      <c r="AA34" s="169">
        <f t="shared" ref="AA34:AA36" si="60">((S34*7)+T34+X34+W34)*0.1725</f>
        <v>65582.616172941503</v>
      </c>
      <c r="AB34" s="169">
        <f>Z34+AA34</f>
        <v>527563.69543637056</v>
      </c>
    </row>
    <row r="35" spans="1:31">
      <c r="A35" s="20">
        <v>5</v>
      </c>
      <c r="B35" s="76" t="s">
        <v>32</v>
      </c>
      <c r="C35" s="87">
        <v>1</v>
      </c>
      <c r="D35" s="169">
        <v>7040</v>
      </c>
      <c r="E35" s="88">
        <v>1.4</v>
      </c>
      <c r="F35" s="169">
        <f t="shared" si="52"/>
        <v>9856</v>
      </c>
      <c r="G35" s="140"/>
      <c r="H35" s="169"/>
      <c r="I35" s="139"/>
      <c r="J35" s="140"/>
      <c r="K35" s="141"/>
      <c r="L35" s="141"/>
      <c r="M35" s="141"/>
      <c r="N35" s="141"/>
      <c r="O35" s="169">
        <v>5000</v>
      </c>
      <c r="P35" s="89">
        <v>0.15</v>
      </c>
      <c r="Q35" s="85">
        <f>+F35*P35</f>
        <v>1478.3999999999999</v>
      </c>
      <c r="R35" s="85">
        <f t="shared" si="54"/>
        <v>16334.4</v>
      </c>
      <c r="S35" s="85">
        <f t="shared" si="55"/>
        <v>16334.4</v>
      </c>
      <c r="T35" s="85"/>
      <c r="U35" s="85"/>
      <c r="V35" s="85"/>
      <c r="W35" s="85">
        <f t="shared" si="56"/>
        <v>19075.176199999998</v>
      </c>
      <c r="X35" s="169">
        <f t="shared" si="57"/>
        <v>18436.539848526885</v>
      </c>
      <c r="Y35" s="85">
        <f t="shared" si="58"/>
        <v>32668.799999999999</v>
      </c>
      <c r="Z35" s="169">
        <f t="shared" si="59"/>
        <v>184521.31604852687</v>
      </c>
      <c r="AA35" s="169">
        <f t="shared" si="60"/>
        <v>26194.559018370885</v>
      </c>
      <c r="AB35" s="169">
        <f t="shared" ref="AB35:AB36" si="61">Z35+AA35</f>
        <v>210715.87506689777</v>
      </c>
    </row>
    <row r="36" spans="1:31">
      <c r="A36" s="20">
        <v>6</v>
      </c>
      <c r="B36" s="77" t="s">
        <v>212</v>
      </c>
      <c r="C36" s="87">
        <v>4</v>
      </c>
      <c r="D36" s="169">
        <v>7040</v>
      </c>
      <c r="E36" s="88">
        <v>1.2</v>
      </c>
      <c r="F36" s="169">
        <f t="shared" si="52"/>
        <v>8448</v>
      </c>
      <c r="G36" s="140"/>
      <c r="H36" s="169"/>
      <c r="I36" s="139"/>
      <c r="J36" s="140"/>
      <c r="K36" s="141"/>
      <c r="L36" s="141"/>
      <c r="M36" s="141"/>
      <c r="N36" s="141"/>
      <c r="O36" s="169">
        <v>6000</v>
      </c>
      <c r="P36" s="89">
        <v>0.5</v>
      </c>
      <c r="Q36" s="85">
        <f t="shared" ref="Q36" si="62">+F36*P36</f>
        <v>4224</v>
      </c>
      <c r="R36" s="85">
        <f t="shared" si="54"/>
        <v>18672</v>
      </c>
      <c r="S36" s="85">
        <f t="shared" si="55"/>
        <v>74688</v>
      </c>
      <c r="T36" s="85"/>
      <c r="U36" s="85"/>
      <c r="V36" s="85"/>
      <c r="W36" s="85">
        <f t="shared" si="56"/>
        <v>87220.024000000005</v>
      </c>
      <c r="X36" s="169">
        <f t="shared" si="57"/>
        <v>84299.900100816434</v>
      </c>
      <c r="Y36" s="85">
        <f t="shared" si="58"/>
        <v>149376</v>
      </c>
      <c r="Z36" s="169">
        <f t="shared" si="59"/>
        <v>843711.92410081637</v>
      </c>
      <c r="AA36" s="169">
        <f t="shared" si="60"/>
        <v>119772.94690739081</v>
      </c>
      <c r="AB36" s="169">
        <f t="shared" si="61"/>
        <v>963484.87100820721</v>
      </c>
    </row>
    <row r="37" spans="1:31" s="182" customFormat="1">
      <c r="A37" s="16"/>
      <c r="B37" s="14" t="s">
        <v>213</v>
      </c>
      <c r="C37" s="185">
        <f>SUM(C34:C36)</f>
        <v>7</v>
      </c>
      <c r="D37" s="132"/>
      <c r="E37" s="186"/>
      <c r="F37" s="132">
        <f>SUM(F34:F36)</f>
        <v>26752</v>
      </c>
      <c r="G37" s="138"/>
      <c r="H37" s="132"/>
      <c r="I37" s="81"/>
      <c r="J37" s="138"/>
      <c r="K37" s="143"/>
      <c r="L37" s="143"/>
      <c r="M37" s="143"/>
      <c r="N37" s="143"/>
      <c r="O37" s="132">
        <f>SUM(O34:O36)</f>
        <v>23000</v>
      </c>
      <c r="P37" s="187"/>
      <c r="Q37" s="132">
        <f t="shared" ref="Q37:AB37" si="63">SUM(Q34:Q36)</f>
        <v>5702.4</v>
      </c>
      <c r="R37" s="132">
        <f t="shared" si="63"/>
        <v>55454.400000000001</v>
      </c>
      <c r="S37" s="132">
        <f t="shared" si="63"/>
        <v>131918.39999999999</v>
      </c>
      <c r="T37" s="132">
        <f t="shared" si="63"/>
        <v>0</v>
      </c>
      <c r="U37" s="132">
        <f t="shared" si="63"/>
        <v>0</v>
      </c>
      <c r="V37" s="132">
        <f t="shared" si="63"/>
        <v>0</v>
      </c>
      <c r="W37" s="132">
        <f t="shared" si="63"/>
        <v>154053.20819999999</v>
      </c>
      <c r="X37" s="132">
        <f t="shared" si="63"/>
        <v>148895.51121277237</v>
      </c>
      <c r="Y37" s="132">
        <f t="shared" si="63"/>
        <v>263836.79999999999</v>
      </c>
      <c r="Z37" s="132">
        <f t="shared" si="63"/>
        <v>1490214.3194127723</v>
      </c>
      <c r="AA37" s="132">
        <f t="shared" si="63"/>
        <v>211550.1220987032</v>
      </c>
      <c r="AB37" s="132">
        <f t="shared" si="63"/>
        <v>1701764.4415114755</v>
      </c>
    </row>
    <row r="38" spans="1:31">
      <c r="A38" s="480" t="s">
        <v>216</v>
      </c>
      <c r="B38" s="481"/>
      <c r="C38" s="481"/>
      <c r="D38" s="481"/>
      <c r="E38" s="481"/>
      <c r="F38" s="481"/>
      <c r="G38" s="481"/>
      <c r="H38" s="481"/>
      <c r="I38" s="481"/>
      <c r="J38" s="481"/>
      <c r="K38" s="481"/>
      <c r="L38" s="481"/>
      <c r="M38" s="481"/>
      <c r="N38" s="481"/>
      <c r="O38" s="481"/>
      <c r="P38" s="481"/>
      <c r="Q38" s="481"/>
      <c r="R38" s="481"/>
      <c r="S38" s="481"/>
      <c r="T38" s="481"/>
      <c r="U38" s="481"/>
      <c r="V38" s="481"/>
      <c r="W38" s="481"/>
      <c r="X38" s="481"/>
      <c r="Y38" s="481"/>
      <c r="Z38" s="481"/>
      <c r="AA38" s="481"/>
      <c r="AB38" s="482"/>
    </row>
    <row r="39" spans="1:31">
      <c r="A39" s="20">
        <v>7</v>
      </c>
      <c r="B39" s="77" t="s">
        <v>217</v>
      </c>
      <c r="C39" s="87">
        <v>4</v>
      </c>
      <c r="D39" s="169">
        <v>7040</v>
      </c>
      <c r="E39" s="88">
        <v>1.2</v>
      </c>
      <c r="F39" s="169">
        <f t="shared" ref="F39:F41" si="64">+E39*D39</f>
        <v>8448</v>
      </c>
      <c r="G39" s="89"/>
      <c r="H39" s="169"/>
      <c r="I39" s="139"/>
      <c r="J39" s="140"/>
      <c r="K39" s="141"/>
      <c r="L39" s="141">
        <f>K39*2</f>
        <v>0</v>
      </c>
      <c r="M39" s="141"/>
      <c r="N39" s="141"/>
      <c r="O39" s="169">
        <v>5000</v>
      </c>
      <c r="P39" s="89">
        <v>0.5</v>
      </c>
      <c r="Q39" s="85">
        <f>+F39*P39</f>
        <v>4224</v>
      </c>
      <c r="R39" s="85">
        <f t="shared" ref="R39:R41" si="65">+F39+H39+I39+K39+O39+Q39</f>
        <v>17672</v>
      </c>
      <c r="S39" s="85">
        <f t="shared" ref="S39:S41" si="66">R39*C39</f>
        <v>70688</v>
      </c>
      <c r="T39" s="85"/>
      <c r="U39" s="85"/>
      <c r="V39" s="85"/>
      <c r="W39" s="85">
        <f t="shared" ref="W39:W41" si="67">(S39*14.0135)/12</f>
        <v>82548.857333333333</v>
      </c>
      <c r="X39" s="169">
        <f t="shared" ref="X39:X41" si="68">(((S39+(W39*14.0135/12/12)))*3/3/29.6)*30</f>
        <v>79785.123960027224</v>
      </c>
      <c r="Y39" s="85">
        <f t="shared" ref="Y39:Y41" si="69">S39*2</f>
        <v>141376</v>
      </c>
      <c r="Z39" s="169">
        <f t="shared" ref="Z39:Z41" si="70">(S39*7)+T39+U39+W39+X39+Y39</f>
        <v>798525.98129336059</v>
      </c>
      <c r="AA39" s="169">
        <f t="shared" ref="AA39:AA41" si="71">((S39*7)+T39+X39+W39)*0.1725</f>
        <v>113358.37177310469</v>
      </c>
      <c r="AB39" s="169">
        <f>Z39+AA39</f>
        <v>911884.35306646524</v>
      </c>
    </row>
    <row r="40" spans="1:31">
      <c r="A40" s="20">
        <v>8</v>
      </c>
      <c r="B40" s="77" t="s">
        <v>218</v>
      </c>
      <c r="C40" s="87">
        <v>2</v>
      </c>
      <c r="D40" s="169">
        <v>7040</v>
      </c>
      <c r="E40" s="88">
        <v>1.2</v>
      </c>
      <c r="F40" s="169">
        <f t="shared" si="64"/>
        <v>8448</v>
      </c>
      <c r="G40" s="89"/>
      <c r="H40" s="169"/>
      <c r="I40" s="139"/>
      <c r="J40" s="140"/>
      <c r="K40" s="141"/>
      <c r="L40" s="141"/>
      <c r="M40" s="141"/>
      <c r="N40" s="141"/>
      <c r="O40" s="169">
        <v>13000</v>
      </c>
      <c r="P40" s="89"/>
      <c r="Q40" s="141"/>
      <c r="R40" s="85">
        <f t="shared" si="65"/>
        <v>21448</v>
      </c>
      <c r="S40" s="85">
        <f t="shared" si="66"/>
        <v>42896</v>
      </c>
      <c r="T40" s="85"/>
      <c r="U40" s="85"/>
      <c r="V40" s="85"/>
      <c r="W40" s="85">
        <f t="shared" si="67"/>
        <v>50093.591333333337</v>
      </c>
      <c r="X40" s="169">
        <f t="shared" si="68"/>
        <v>48416.459333823666</v>
      </c>
      <c r="Y40" s="85">
        <f t="shared" si="69"/>
        <v>85792</v>
      </c>
      <c r="Z40" s="169">
        <f t="shared" si="70"/>
        <v>484574.05066715699</v>
      </c>
      <c r="AA40" s="169">
        <f t="shared" si="71"/>
        <v>68789.90374008457</v>
      </c>
      <c r="AB40" s="169">
        <f t="shared" ref="AB40:AB41" si="72">Z40+AA40</f>
        <v>553363.95440724154</v>
      </c>
    </row>
    <row r="41" spans="1:31">
      <c r="A41" s="20">
        <v>9</v>
      </c>
      <c r="B41" s="76" t="s">
        <v>32</v>
      </c>
      <c r="C41" s="87">
        <v>1</v>
      </c>
      <c r="D41" s="169">
        <v>7040</v>
      </c>
      <c r="E41" s="88">
        <v>1.4</v>
      </c>
      <c r="F41" s="169">
        <f t="shared" si="64"/>
        <v>9856</v>
      </c>
      <c r="G41" s="89"/>
      <c r="H41" s="169"/>
      <c r="I41" s="139"/>
      <c r="J41" s="140"/>
      <c r="K41" s="141"/>
      <c r="L41" s="141">
        <f t="shared" ref="L41" si="73">K41</f>
        <v>0</v>
      </c>
      <c r="M41" s="141"/>
      <c r="N41" s="141"/>
      <c r="O41" s="169">
        <v>4000</v>
      </c>
      <c r="P41" s="89">
        <v>0.2</v>
      </c>
      <c r="Q41" s="85">
        <f>+F41*P41</f>
        <v>1971.2</v>
      </c>
      <c r="R41" s="85">
        <f t="shared" si="65"/>
        <v>15827.2</v>
      </c>
      <c r="S41" s="85">
        <f t="shared" si="66"/>
        <v>15827.2</v>
      </c>
      <c r="T41" s="85"/>
      <c r="U41" s="85"/>
      <c r="V41" s="85"/>
      <c r="W41" s="85">
        <f t="shared" si="67"/>
        <v>18482.872266666669</v>
      </c>
      <c r="X41" s="169">
        <f t="shared" si="68"/>
        <v>17864.066233874812</v>
      </c>
      <c r="Y41" s="85">
        <f t="shared" si="69"/>
        <v>31654.400000000001</v>
      </c>
      <c r="Z41" s="169">
        <f t="shared" si="70"/>
        <v>178791.73850054148</v>
      </c>
      <c r="AA41" s="169">
        <f t="shared" si="71"/>
        <v>25381.190891343405</v>
      </c>
      <c r="AB41" s="169">
        <f t="shared" si="72"/>
        <v>204172.92939188489</v>
      </c>
    </row>
    <row r="42" spans="1:31" s="182" customFormat="1">
      <c r="A42" s="16"/>
      <c r="B42" s="14" t="s">
        <v>213</v>
      </c>
      <c r="C42" s="185">
        <f>SUM(C39:C41)</f>
        <v>7</v>
      </c>
      <c r="D42" s="132"/>
      <c r="E42" s="186"/>
      <c r="F42" s="132">
        <f>SUM(F39:F41)</f>
        <v>26752</v>
      </c>
      <c r="G42" s="138"/>
      <c r="H42" s="132"/>
      <c r="I42" s="81"/>
      <c r="J42" s="138"/>
      <c r="K42" s="143"/>
      <c r="L42" s="143"/>
      <c r="M42" s="143"/>
      <c r="N42" s="143"/>
      <c r="O42" s="132">
        <f>SUM(O39:O41)</f>
        <v>22000</v>
      </c>
      <c r="P42" s="187"/>
      <c r="Q42" s="132">
        <f t="shared" ref="Q42:AB42" si="74">SUM(Q39:Q41)</f>
        <v>6195.2</v>
      </c>
      <c r="R42" s="132">
        <f t="shared" si="74"/>
        <v>54947.199999999997</v>
      </c>
      <c r="S42" s="132">
        <f t="shared" si="74"/>
        <v>129411.2</v>
      </c>
      <c r="T42" s="132">
        <f t="shared" si="74"/>
        <v>0</v>
      </c>
      <c r="U42" s="132">
        <f t="shared" si="74"/>
        <v>0</v>
      </c>
      <c r="V42" s="132">
        <f t="shared" si="74"/>
        <v>0</v>
      </c>
      <c r="W42" s="132">
        <f t="shared" si="74"/>
        <v>151125.32093333334</v>
      </c>
      <c r="X42" s="132">
        <f t="shared" si="74"/>
        <v>146065.64952772571</v>
      </c>
      <c r="Y42" s="132">
        <f t="shared" si="74"/>
        <v>258822.39999999999</v>
      </c>
      <c r="Z42" s="132">
        <f t="shared" si="74"/>
        <v>1461891.7704610592</v>
      </c>
      <c r="AA42" s="132">
        <f t="shared" si="74"/>
        <v>207529.46640453266</v>
      </c>
      <c r="AB42" s="132">
        <f t="shared" si="74"/>
        <v>1669421.2368655917</v>
      </c>
      <c r="AC42" s="181"/>
    </row>
    <row r="43" spans="1:31" s="182" customFormat="1">
      <c r="A43" s="16"/>
      <c r="B43" s="14" t="s">
        <v>18</v>
      </c>
      <c r="C43" s="185">
        <f>C32+C37+C42</f>
        <v>26</v>
      </c>
      <c r="D43" s="210"/>
      <c r="E43" s="186"/>
      <c r="F43" s="132">
        <f>F32+F37+F42</f>
        <v>80256</v>
      </c>
      <c r="G43" s="132"/>
      <c r="H43" s="132"/>
      <c r="I43" s="132"/>
      <c r="J43" s="132"/>
      <c r="K43" s="132"/>
      <c r="L43" s="132"/>
      <c r="M43" s="132"/>
      <c r="N43" s="132"/>
      <c r="O43" s="132">
        <f t="shared" ref="O43" si="75">O32+O37+O42</f>
        <v>67000</v>
      </c>
      <c r="P43" s="132"/>
      <c r="Q43" s="132">
        <f>Q32+Q37+Q42</f>
        <v>18092.8</v>
      </c>
      <c r="R43" s="132">
        <f t="shared" ref="R43" si="76">R32+R37+R42</f>
        <v>165348.79999999999</v>
      </c>
      <c r="S43" s="132">
        <f t="shared" ref="S43" si="77">S32+S37+S42</f>
        <v>494204.8</v>
      </c>
      <c r="T43" s="132">
        <f t="shared" ref="T43" si="78">T32+T37+T42</f>
        <v>0</v>
      </c>
      <c r="U43" s="132">
        <f t="shared" ref="U43" si="79">U32+U37+U42</f>
        <v>0</v>
      </c>
      <c r="V43" s="132">
        <f t="shared" ref="V43" si="80">V32+V37+V42</f>
        <v>0</v>
      </c>
      <c r="W43" s="132">
        <f t="shared" ref="W43" si="81">W32+W37+W42</f>
        <v>577128.24706666672</v>
      </c>
      <c r="X43" s="132">
        <f t="shared" ref="X43" si="82">X32+X37+X42</f>
        <v>557806.00992587791</v>
      </c>
      <c r="Y43" s="132">
        <f t="shared" ref="Y43" si="83">Y32+Y37+Y42</f>
        <v>988409.6</v>
      </c>
      <c r="Z43" s="132">
        <f t="shared" ref="Z43" si="84">Z32+Z37+Z42</f>
        <v>5582777.4569925452</v>
      </c>
      <c r="AA43" s="132">
        <f t="shared" ref="AA43" si="85">AA32+AA37+AA42</f>
        <v>792528.45533121377</v>
      </c>
      <c r="AB43" s="132">
        <f t="shared" ref="AB43" si="86">AB32+AB37+AB42</f>
        <v>6375305.912323758</v>
      </c>
    </row>
    <row r="47" spans="1:31">
      <c r="B47" s="451" t="s">
        <v>530</v>
      </c>
      <c r="C47" s="450"/>
      <c r="D47" s="450"/>
      <c r="E47" s="450"/>
      <c r="F47" s="450"/>
      <c r="G47" s="450"/>
      <c r="H47" s="450"/>
      <c r="I47" s="450"/>
      <c r="J47" s="450"/>
      <c r="K47" s="450"/>
      <c r="L47" s="450"/>
      <c r="M47" s="450"/>
      <c r="N47" s="450"/>
      <c r="O47" s="450"/>
      <c r="P47" s="450"/>
      <c r="Q47" s="450"/>
      <c r="R47" s="450"/>
      <c r="S47" s="450"/>
      <c r="T47" s="450"/>
      <c r="U47" s="450"/>
      <c r="V47" s="450"/>
      <c r="W47" s="450"/>
      <c r="X47" s="450"/>
      <c r="Y47" s="450"/>
      <c r="Z47" s="450"/>
      <c r="AA47" s="450"/>
      <c r="AB47" s="450"/>
    </row>
  </sheetData>
  <mergeCells count="35">
    <mergeCell ref="B47:AB47"/>
    <mergeCell ref="AA1:AB1"/>
    <mergeCell ref="A10:AB10"/>
    <mergeCell ref="V6:V7"/>
    <mergeCell ref="W6:W7"/>
    <mergeCell ref="X6:X7"/>
    <mergeCell ref="Y6:Y7"/>
    <mergeCell ref="L7:M7"/>
    <mergeCell ref="N7:O7"/>
    <mergeCell ref="P7:Q7"/>
    <mergeCell ref="T6:T7"/>
    <mergeCell ref="U6:U7"/>
    <mergeCell ref="AA6:AA7"/>
    <mergeCell ref="AB6:AB7"/>
    <mergeCell ref="G7:H7"/>
    <mergeCell ref="J7:K7"/>
    <mergeCell ref="A3:AB3"/>
    <mergeCell ref="A11:AB11"/>
    <mergeCell ref="A27:AB27"/>
    <mergeCell ref="A28:AB28"/>
    <mergeCell ref="A33:AB33"/>
    <mergeCell ref="A38:AB38"/>
    <mergeCell ref="A16:AB16"/>
    <mergeCell ref="A21:AB21"/>
    <mergeCell ref="D4:Z4"/>
    <mergeCell ref="A6:A8"/>
    <mergeCell ref="B6:B8"/>
    <mergeCell ref="C6:C8"/>
    <mergeCell ref="D6:D8"/>
    <mergeCell ref="E6:E8"/>
    <mergeCell ref="F6:F8"/>
    <mergeCell ref="G6:Q6"/>
    <mergeCell ref="R6:R7"/>
    <mergeCell ref="S6:S7"/>
    <mergeCell ref="Z6:Z7"/>
  </mergeCells>
  <pageMargins left="0" right="0" top="0.74803149606299213" bottom="0.74803149606299213" header="0.31496062992125984" footer="0.31496062992125984"/>
  <pageSetup paperSize="9" scale="92" fitToHeight="0" orientation="landscape" verticalDpi="360" r:id="rId1"/>
  <rowBreaks count="1" manualBreakCount="1">
    <brk id="26" max="27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C000"/>
    <pageSetUpPr fitToPage="1"/>
  </sheetPr>
  <dimension ref="A1:AB19"/>
  <sheetViews>
    <sheetView view="pageBreakPreview" zoomScaleNormal="85" zoomScaleSheetLayoutView="100" workbookViewId="0">
      <selection activeCell="V17" sqref="V17:Y17"/>
    </sheetView>
  </sheetViews>
  <sheetFormatPr defaultColWidth="9.140625" defaultRowHeight="12.75"/>
  <cols>
    <col min="1" max="1" width="3.5703125" style="64" bestFit="1" customWidth="1"/>
    <col min="2" max="2" width="27.28515625" style="64" customWidth="1"/>
    <col min="3" max="3" width="4.28515625" style="64" customWidth="1"/>
    <col min="4" max="4" width="6.85546875" style="64" customWidth="1"/>
    <col min="5" max="5" width="4.85546875" style="64" customWidth="1"/>
    <col min="6" max="6" width="6.7109375" style="64" customWidth="1"/>
    <col min="7" max="7" width="5.140625" style="64" customWidth="1"/>
    <col min="8" max="8" width="6" style="64" customWidth="1"/>
    <col min="9" max="9" width="6.140625" style="64" customWidth="1"/>
    <col min="10" max="11" width="9.140625" style="64" hidden="1" customWidth="1"/>
    <col min="12" max="12" width="5.140625" style="64" customWidth="1"/>
    <col min="13" max="13" width="9" style="64" customWidth="1"/>
    <col min="14" max="17" width="9.140625" style="64" hidden="1" customWidth="1"/>
    <col min="18" max="18" width="7.28515625" style="64" customWidth="1"/>
    <col min="19" max="20" width="7.85546875" style="64" customWidth="1"/>
    <col min="21" max="21" width="10.140625" style="64" customWidth="1"/>
    <col min="22" max="22" width="7.85546875" style="64" customWidth="1"/>
    <col min="23" max="23" width="8.7109375" style="64" hidden="1" customWidth="1"/>
    <col min="24" max="24" width="7.85546875" style="64" hidden="1" customWidth="1"/>
    <col min="25" max="25" width="8.7109375" style="64" customWidth="1"/>
    <col min="26" max="26" width="7.85546875" style="64" customWidth="1"/>
    <col min="27" max="27" width="9.85546875" style="64" customWidth="1"/>
    <col min="28" max="16384" width="9.140625" style="64"/>
  </cols>
  <sheetData>
    <row r="1" spans="1:27" ht="67.900000000000006" customHeight="1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Z1" s="399" t="s">
        <v>531</v>
      </c>
      <c r="AA1" s="399"/>
    </row>
    <row r="2" spans="1:27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3"/>
    </row>
    <row r="3" spans="1:27" ht="13.15" customHeight="1">
      <c r="A3" s="442" t="s">
        <v>157</v>
      </c>
      <c r="B3" s="442"/>
      <c r="C3" s="442"/>
      <c r="D3" s="442"/>
      <c r="E3" s="442"/>
      <c r="F3" s="442"/>
      <c r="G3" s="442"/>
      <c r="H3" s="442"/>
      <c r="I3" s="442"/>
      <c r="J3" s="442"/>
      <c r="K3" s="442"/>
      <c r="L3" s="442"/>
      <c r="M3" s="442"/>
      <c r="N3" s="442"/>
      <c r="O3" s="442"/>
      <c r="P3" s="442"/>
      <c r="Q3" s="442"/>
      <c r="R3" s="442"/>
      <c r="S3" s="442"/>
      <c r="T3" s="442"/>
      <c r="U3" s="442"/>
      <c r="V3" s="442"/>
      <c r="W3" s="442"/>
      <c r="X3" s="442"/>
      <c r="Y3" s="442"/>
      <c r="Z3" s="442"/>
      <c r="AA3" s="442"/>
    </row>
    <row r="4" spans="1:27" ht="39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</row>
    <row r="5" spans="1:27" ht="13.9" customHeight="1">
      <c r="A5" s="441" t="s">
        <v>0</v>
      </c>
      <c r="B5" s="441" t="s">
        <v>20</v>
      </c>
      <c r="C5" s="441" t="s">
        <v>21</v>
      </c>
      <c r="D5" s="441" t="s">
        <v>22</v>
      </c>
      <c r="E5" s="441" t="s">
        <v>103</v>
      </c>
      <c r="F5" s="443" t="s">
        <v>23</v>
      </c>
      <c r="G5" s="434" t="s">
        <v>104</v>
      </c>
      <c r="H5" s="435"/>
      <c r="I5" s="435"/>
      <c r="J5" s="435"/>
      <c r="K5" s="435"/>
      <c r="L5" s="435"/>
      <c r="M5" s="435"/>
      <c r="N5" s="435"/>
      <c r="O5" s="435"/>
      <c r="P5" s="435"/>
      <c r="Q5" s="436"/>
      <c r="R5" s="441" t="s">
        <v>28</v>
      </c>
      <c r="S5" s="441" t="s">
        <v>166</v>
      </c>
      <c r="T5" s="441" t="s">
        <v>105</v>
      </c>
      <c r="U5" s="441" t="s">
        <v>106</v>
      </c>
      <c r="V5" s="441" t="s">
        <v>108</v>
      </c>
      <c r="W5" s="446" t="s">
        <v>109</v>
      </c>
      <c r="X5" s="447"/>
      <c r="Y5" s="437" t="s">
        <v>110</v>
      </c>
      <c r="Z5" s="437" t="s">
        <v>111</v>
      </c>
      <c r="AA5" s="437" t="s">
        <v>112</v>
      </c>
    </row>
    <row r="6" spans="1:27" ht="103.15" customHeight="1">
      <c r="A6" s="441"/>
      <c r="B6" s="441"/>
      <c r="C6" s="441"/>
      <c r="D6" s="441"/>
      <c r="E6" s="441"/>
      <c r="F6" s="443"/>
      <c r="G6" s="441" t="s">
        <v>85</v>
      </c>
      <c r="H6" s="441"/>
      <c r="I6" s="127" t="s">
        <v>25</v>
      </c>
      <c r="J6" s="441" t="s">
        <v>24</v>
      </c>
      <c r="K6" s="441"/>
      <c r="L6" s="444" t="s">
        <v>114</v>
      </c>
      <c r="M6" s="445"/>
      <c r="N6" s="441" t="s">
        <v>26</v>
      </c>
      <c r="O6" s="441"/>
      <c r="P6" s="439" t="s">
        <v>27</v>
      </c>
      <c r="Q6" s="440"/>
      <c r="R6" s="441"/>
      <c r="S6" s="441"/>
      <c r="T6" s="441"/>
      <c r="U6" s="441"/>
      <c r="V6" s="441"/>
      <c r="W6" s="448"/>
      <c r="X6" s="449"/>
      <c r="Y6" s="438"/>
      <c r="Z6" s="438"/>
      <c r="AA6" s="438"/>
    </row>
    <row r="7" spans="1:27" ht="25.5">
      <c r="A7" s="441"/>
      <c r="B7" s="441"/>
      <c r="C7" s="441"/>
      <c r="D7" s="441"/>
      <c r="E7" s="441"/>
      <c r="F7" s="443"/>
      <c r="G7" s="125" t="s">
        <v>3</v>
      </c>
      <c r="H7" s="125" t="s">
        <v>29</v>
      </c>
      <c r="I7" s="125" t="s">
        <v>29</v>
      </c>
      <c r="J7" s="125" t="s">
        <v>3</v>
      </c>
      <c r="K7" s="125" t="s">
        <v>29</v>
      </c>
      <c r="L7" s="125" t="s">
        <v>3</v>
      </c>
      <c r="M7" s="125" t="s">
        <v>29</v>
      </c>
      <c r="N7" s="125" t="s">
        <v>3</v>
      </c>
      <c r="O7" s="125" t="s">
        <v>29</v>
      </c>
      <c r="P7" s="125" t="s">
        <v>3</v>
      </c>
      <c r="Q7" s="125" t="s">
        <v>29</v>
      </c>
      <c r="R7" s="125" t="s">
        <v>29</v>
      </c>
      <c r="S7" s="125" t="s">
        <v>29</v>
      </c>
      <c r="T7" s="125" t="s">
        <v>29</v>
      </c>
      <c r="U7" s="125" t="s">
        <v>29</v>
      </c>
      <c r="V7" s="125" t="s">
        <v>29</v>
      </c>
      <c r="W7" s="125" t="s">
        <v>190</v>
      </c>
      <c r="X7" s="125" t="s">
        <v>29</v>
      </c>
      <c r="Y7" s="125" t="s">
        <v>29</v>
      </c>
      <c r="Z7" s="125" t="s">
        <v>29</v>
      </c>
      <c r="AA7" s="125" t="s">
        <v>29</v>
      </c>
    </row>
    <row r="8" spans="1:27">
      <c r="A8" s="125">
        <v>1</v>
      </c>
      <c r="B8" s="125">
        <v>2</v>
      </c>
      <c r="C8" s="125">
        <v>3</v>
      </c>
      <c r="D8" s="125">
        <v>4</v>
      </c>
      <c r="E8" s="125">
        <v>5</v>
      </c>
      <c r="F8" s="125">
        <v>6</v>
      </c>
      <c r="G8" s="125">
        <v>7</v>
      </c>
      <c r="H8" s="125">
        <v>8</v>
      </c>
      <c r="I8" s="125">
        <v>9</v>
      </c>
      <c r="J8" s="125">
        <v>10</v>
      </c>
      <c r="K8" s="125">
        <v>11</v>
      </c>
      <c r="L8" s="125">
        <v>10</v>
      </c>
      <c r="M8" s="125">
        <v>11</v>
      </c>
      <c r="N8" s="125">
        <v>14</v>
      </c>
      <c r="O8" s="125">
        <v>15</v>
      </c>
      <c r="P8" s="125">
        <v>16</v>
      </c>
      <c r="Q8" s="125">
        <v>17</v>
      </c>
      <c r="R8" s="125">
        <v>12</v>
      </c>
      <c r="S8" s="125">
        <v>13</v>
      </c>
      <c r="T8" s="125">
        <v>14</v>
      </c>
      <c r="U8" s="125">
        <v>15</v>
      </c>
      <c r="V8" s="126" t="s">
        <v>129</v>
      </c>
      <c r="W8" s="125">
        <v>17</v>
      </c>
      <c r="X8" s="126" t="s">
        <v>123</v>
      </c>
      <c r="Y8" s="125">
        <v>19</v>
      </c>
      <c r="Z8" s="126" t="s">
        <v>117</v>
      </c>
      <c r="AA8" s="125"/>
    </row>
    <row r="9" spans="1:27">
      <c r="A9" s="434" t="s">
        <v>354</v>
      </c>
      <c r="B9" s="435"/>
      <c r="C9" s="435"/>
      <c r="D9" s="435"/>
      <c r="E9" s="435"/>
      <c r="F9" s="435"/>
      <c r="G9" s="435"/>
      <c r="H9" s="435"/>
      <c r="I9" s="435"/>
      <c r="J9" s="435"/>
      <c r="K9" s="435"/>
      <c r="L9" s="435"/>
      <c r="M9" s="435"/>
      <c r="N9" s="435"/>
      <c r="O9" s="435"/>
      <c r="P9" s="435"/>
      <c r="Q9" s="435"/>
      <c r="R9" s="435"/>
      <c r="S9" s="435"/>
      <c r="T9" s="435"/>
      <c r="U9" s="435"/>
      <c r="V9" s="435"/>
      <c r="W9" s="435"/>
      <c r="X9" s="435"/>
      <c r="Y9" s="435"/>
      <c r="Z9" s="435"/>
      <c r="AA9" s="436"/>
    </row>
    <row r="10" spans="1:27">
      <c r="A10" s="78">
        <v>1</v>
      </c>
      <c r="B10" s="84" t="s">
        <v>66</v>
      </c>
      <c r="C10" s="79">
        <v>1</v>
      </c>
      <c r="D10" s="85">
        <v>7040</v>
      </c>
      <c r="E10" s="79">
        <v>1</v>
      </c>
      <c r="F10" s="85">
        <f t="shared" ref="F10" si="0">+D10*E10</f>
        <v>7040</v>
      </c>
      <c r="G10" s="73"/>
      <c r="H10" s="80"/>
      <c r="I10" s="85"/>
      <c r="J10" s="73"/>
      <c r="K10" s="79">
        <f>F10*J10</f>
        <v>0</v>
      </c>
      <c r="L10" s="73">
        <v>0.25</v>
      </c>
      <c r="M10" s="85">
        <f>+F10*L10</f>
        <v>1760</v>
      </c>
      <c r="N10" s="85"/>
      <c r="O10" s="85"/>
      <c r="P10" s="85"/>
      <c r="Q10" s="85"/>
      <c r="R10" s="85">
        <f>F10+H10+I10+K10+Q10+M10+O10</f>
        <v>8800</v>
      </c>
      <c r="S10" s="85">
        <f>R10*C10</f>
        <v>8800</v>
      </c>
      <c r="T10" s="85"/>
      <c r="U10" s="85"/>
      <c r="V10" s="85">
        <f>(S10*14.0135)/12</f>
        <v>10276.566666666668</v>
      </c>
      <c r="W10" s="85"/>
      <c r="X10" s="85"/>
      <c r="Y10" s="85">
        <f>(S10*8)+T10+U10+V10+X10</f>
        <v>80676.566666666666</v>
      </c>
      <c r="Z10" s="85">
        <f>((S10*8)+T10+V10)*0.1725</f>
        <v>13916.70775</v>
      </c>
      <c r="AA10" s="85">
        <f>Y10+Z10+X10</f>
        <v>94593.274416666667</v>
      </c>
    </row>
    <row r="11" spans="1:27">
      <c r="A11" s="125"/>
      <c r="B11" s="125" t="s">
        <v>31</v>
      </c>
      <c r="C11" s="82">
        <f>SUM(C10)</f>
        <v>1</v>
      </c>
      <c r="D11" s="132">
        <f t="shared" ref="D11:AA11" si="1">SUM(D10)</f>
        <v>7040</v>
      </c>
      <c r="E11" s="82"/>
      <c r="F11" s="132">
        <f t="shared" si="1"/>
        <v>7040</v>
      </c>
      <c r="G11" s="82"/>
      <c r="H11" s="83">
        <f t="shared" si="1"/>
        <v>0</v>
      </c>
      <c r="I11" s="132">
        <f t="shared" si="1"/>
        <v>0</v>
      </c>
      <c r="J11" s="82"/>
      <c r="K11" s="82">
        <f t="shared" si="1"/>
        <v>0</v>
      </c>
      <c r="L11" s="82"/>
      <c r="M11" s="132">
        <f t="shared" si="1"/>
        <v>1760</v>
      </c>
      <c r="N11" s="132"/>
      <c r="O11" s="132">
        <f t="shared" si="1"/>
        <v>0</v>
      </c>
      <c r="P11" s="132"/>
      <c r="Q11" s="132">
        <f t="shared" si="1"/>
        <v>0</v>
      </c>
      <c r="R11" s="132">
        <f t="shared" si="1"/>
        <v>8800</v>
      </c>
      <c r="S11" s="132">
        <f t="shared" si="1"/>
        <v>8800</v>
      </c>
      <c r="T11" s="132">
        <f t="shared" si="1"/>
        <v>0</v>
      </c>
      <c r="U11" s="132">
        <f t="shared" si="1"/>
        <v>0</v>
      </c>
      <c r="V11" s="132">
        <f t="shared" si="1"/>
        <v>10276.566666666668</v>
      </c>
      <c r="W11" s="132"/>
      <c r="X11" s="132">
        <f t="shared" si="1"/>
        <v>0</v>
      </c>
      <c r="Y11" s="132">
        <f t="shared" si="1"/>
        <v>80676.566666666666</v>
      </c>
      <c r="Z11" s="132">
        <f t="shared" si="1"/>
        <v>13916.70775</v>
      </c>
      <c r="AA11" s="132">
        <f t="shared" si="1"/>
        <v>94593.274416666667</v>
      </c>
    </row>
    <row r="12" spans="1:27">
      <c r="A12" s="434" t="s">
        <v>355</v>
      </c>
      <c r="B12" s="435"/>
      <c r="C12" s="435"/>
      <c r="D12" s="435"/>
      <c r="E12" s="435"/>
      <c r="F12" s="435"/>
      <c r="G12" s="435"/>
      <c r="H12" s="435"/>
      <c r="I12" s="435"/>
      <c r="J12" s="435"/>
      <c r="K12" s="435"/>
      <c r="L12" s="435"/>
      <c r="M12" s="435"/>
      <c r="N12" s="435"/>
      <c r="O12" s="435"/>
      <c r="P12" s="435"/>
      <c r="Q12" s="435"/>
      <c r="R12" s="435"/>
      <c r="S12" s="435"/>
      <c r="T12" s="435"/>
      <c r="U12" s="435"/>
      <c r="V12" s="435"/>
      <c r="W12" s="435"/>
      <c r="X12" s="435"/>
      <c r="Y12" s="435"/>
      <c r="Z12" s="435"/>
      <c r="AA12" s="436"/>
    </row>
    <row r="13" spans="1:27">
      <c r="A13" s="78">
        <v>1</v>
      </c>
      <c r="B13" s="84" t="s">
        <v>66</v>
      </c>
      <c r="C13" s="79">
        <v>1</v>
      </c>
      <c r="D13" s="85">
        <v>7040</v>
      </c>
      <c r="E13" s="79">
        <v>1.2</v>
      </c>
      <c r="F13" s="85">
        <f t="shared" ref="F13" si="2">+D13*E13</f>
        <v>8448</v>
      </c>
      <c r="G13" s="73"/>
      <c r="H13" s="80"/>
      <c r="I13" s="85"/>
      <c r="J13" s="73"/>
      <c r="K13" s="79">
        <f>F13*J13</f>
        <v>0</v>
      </c>
      <c r="L13" s="73">
        <v>0.25</v>
      </c>
      <c r="M13" s="85">
        <f>+F13*L13</f>
        <v>2112</v>
      </c>
      <c r="N13" s="85"/>
      <c r="O13" s="85"/>
      <c r="P13" s="85"/>
      <c r="Q13" s="85"/>
      <c r="R13" s="85">
        <f>F13+H13+I13+K13+Q13+M13+O13</f>
        <v>10560</v>
      </c>
      <c r="S13" s="85">
        <f>R13*C13</f>
        <v>10560</v>
      </c>
      <c r="T13" s="85"/>
      <c r="U13" s="85"/>
      <c r="V13" s="85">
        <f>(S13*14.0135)/12</f>
        <v>12331.88</v>
      </c>
      <c r="W13" s="85"/>
      <c r="X13" s="85"/>
      <c r="Y13" s="85">
        <f>(S13*8)+T13+U13+V13+X13</f>
        <v>96811.88</v>
      </c>
      <c r="Z13" s="85">
        <f>((S13*8)+T13+V13)*0.1725</f>
        <v>16700.049299999999</v>
      </c>
      <c r="AA13" s="85">
        <f>Y13+Z13+X13</f>
        <v>113511.9293</v>
      </c>
    </row>
    <row r="14" spans="1:27">
      <c r="A14" s="125"/>
      <c r="B14" s="125" t="s">
        <v>31</v>
      </c>
      <c r="C14" s="82">
        <f>SUM(C13)</f>
        <v>1</v>
      </c>
      <c r="D14" s="132">
        <f t="shared" ref="D14" si="3">SUM(D13)</f>
        <v>7040</v>
      </c>
      <c r="E14" s="82"/>
      <c r="F14" s="132">
        <f t="shared" ref="F14" si="4">SUM(F13)</f>
        <v>8448</v>
      </c>
      <c r="G14" s="82"/>
      <c r="H14" s="83">
        <f t="shared" ref="H14:I14" si="5">SUM(H13)</f>
        <v>0</v>
      </c>
      <c r="I14" s="132">
        <f t="shared" si="5"/>
        <v>0</v>
      </c>
      <c r="J14" s="82"/>
      <c r="K14" s="82">
        <f t="shared" ref="K14" si="6">SUM(K13)</f>
        <v>0</v>
      </c>
      <c r="L14" s="82"/>
      <c r="M14" s="132">
        <f t="shared" ref="M14" si="7">SUM(M13)</f>
        <v>2112</v>
      </c>
      <c r="N14" s="132"/>
      <c r="O14" s="132">
        <f t="shared" ref="O14" si="8">SUM(O13)</f>
        <v>0</v>
      </c>
      <c r="P14" s="132"/>
      <c r="Q14" s="132">
        <f t="shared" ref="Q14:V14" si="9">SUM(Q13)</f>
        <v>0</v>
      </c>
      <c r="R14" s="132">
        <f t="shared" si="9"/>
        <v>10560</v>
      </c>
      <c r="S14" s="132">
        <f t="shared" si="9"/>
        <v>10560</v>
      </c>
      <c r="T14" s="132">
        <f t="shared" si="9"/>
        <v>0</v>
      </c>
      <c r="U14" s="132">
        <f t="shared" si="9"/>
        <v>0</v>
      </c>
      <c r="V14" s="132">
        <f t="shared" si="9"/>
        <v>12331.88</v>
      </c>
      <c r="W14" s="132"/>
      <c r="X14" s="132">
        <f t="shared" ref="X14:AA14" si="10">SUM(X13)</f>
        <v>0</v>
      </c>
      <c r="Y14" s="132">
        <f t="shared" si="10"/>
        <v>96811.88</v>
      </c>
      <c r="Z14" s="132">
        <f t="shared" si="10"/>
        <v>16700.049299999999</v>
      </c>
      <c r="AA14" s="132">
        <f t="shared" si="10"/>
        <v>113511.9293</v>
      </c>
    </row>
    <row r="19" spans="2:28">
      <c r="B19" s="451" t="s">
        <v>530</v>
      </c>
      <c r="C19" s="450"/>
      <c r="D19" s="450"/>
      <c r="E19" s="450"/>
      <c r="F19" s="450"/>
      <c r="G19" s="450"/>
      <c r="H19" s="450"/>
      <c r="I19" s="450"/>
      <c r="J19" s="450"/>
      <c r="K19" s="450"/>
      <c r="L19" s="450"/>
      <c r="M19" s="450"/>
      <c r="N19" s="450"/>
      <c r="O19" s="450"/>
      <c r="P19" s="450"/>
      <c r="Q19" s="450"/>
      <c r="R19" s="450"/>
      <c r="S19" s="450"/>
      <c r="T19" s="450"/>
      <c r="U19" s="450"/>
      <c r="V19" s="450"/>
      <c r="W19" s="450"/>
      <c r="X19" s="450"/>
      <c r="Y19" s="450"/>
      <c r="Z19" s="450"/>
      <c r="AA19" s="450"/>
      <c r="AB19" s="450"/>
    </row>
  </sheetData>
  <mergeCells count="26">
    <mergeCell ref="B19:AB19"/>
    <mergeCell ref="Z1:AA1"/>
    <mergeCell ref="A3:AA3"/>
    <mergeCell ref="A5:A7"/>
    <mergeCell ref="B5:B7"/>
    <mergeCell ref="C5:C7"/>
    <mergeCell ref="D5:D7"/>
    <mergeCell ref="E5:E7"/>
    <mergeCell ref="F5:F7"/>
    <mergeCell ref="G5:Q5"/>
    <mergeCell ref="R5:R6"/>
    <mergeCell ref="S5:S6"/>
    <mergeCell ref="T5:T6"/>
    <mergeCell ref="U5:U6"/>
    <mergeCell ref="V5:V6"/>
    <mergeCell ref="Y5:Y6"/>
    <mergeCell ref="Z5:Z6"/>
    <mergeCell ref="AA5:AA6"/>
    <mergeCell ref="A9:AA9"/>
    <mergeCell ref="A12:AA12"/>
    <mergeCell ref="W5:X6"/>
    <mergeCell ref="G6:H6"/>
    <mergeCell ref="J6:K6"/>
    <mergeCell ref="L6:M6"/>
    <mergeCell ref="N6:O6"/>
    <mergeCell ref="P6:Q6"/>
  </mergeCells>
  <phoneticPr fontId="31" type="noConversion"/>
  <pageMargins left="0" right="0" top="0.74803149606299213" bottom="0.74803149606299213" header="0.31496062992125984" footer="0.31496062992125984"/>
  <pageSetup paperSize="9" scale="96" fitToHeight="0" orientation="landscape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Q71"/>
  <sheetViews>
    <sheetView workbookViewId="0">
      <selection activeCell="K52" sqref="K52"/>
    </sheetView>
  </sheetViews>
  <sheetFormatPr defaultColWidth="9.140625" defaultRowHeight="12.75"/>
  <cols>
    <col min="1" max="1" width="4.28515625" style="22" customWidth="1"/>
    <col min="2" max="2" width="8.85546875" style="22" customWidth="1"/>
    <col min="3" max="3" width="60.5703125" style="22" customWidth="1"/>
    <col min="4" max="4" width="5.85546875" style="22" customWidth="1"/>
    <col min="5" max="5" width="12.140625" style="159" hidden="1" customWidth="1"/>
    <col min="6" max="6" width="11.5703125" style="159" hidden="1" customWidth="1"/>
    <col min="7" max="7" width="10.28515625" style="159" hidden="1" customWidth="1"/>
    <col min="8" max="8" width="12.140625" style="159" hidden="1" customWidth="1"/>
    <col min="9" max="9" width="10.7109375" style="22" customWidth="1"/>
    <col min="10" max="10" width="10.28515625" style="22" customWidth="1"/>
    <col min="11" max="11" width="10.85546875" style="22" customWidth="1"/>
    <col min="12" max="14" width="10.28515625" style="22" hidden="1" customWidth="1"/>
    <col min="15" max="15" width="10.42578125" style="22" hidden="1" customWidth="1"/>
    <col min="16" max="16" width="10" style="22" customWidth="1"/>
    <col min="17" max="17" width="10.42578125" style="22" bestFit="1" customWidth="1"/>
    <col min="18" max="257" width="9.140625" style="22"/>
    <col min="258" max="258" width="4.28515625" style="22" customWidth="1"/>
    <col min="259" max="259" width="8.85546875" style="22" customWidth="1"/>
    <col min="260" max="260" width="60.5703125" style="22" customWidth="1"/>
    <col min="261" max="261" width="5.85546875" style="22" customWidth="1"/>
    <col min="262" max="262" width="12.140625" style="22" customWidth="1"/>
    <col min="263" max="263" width="11.5703125" style="22" customWidth="1"/>
    <col min="264" max="264" width="10.28515625" style="22" bestFit="1" customWidth="1"/>
    <col min="265" max="265" width="12.140625" style="22" customWidth="1"/>
    <col min="266" max="266" width="10.7109375" style="22" customWidth="1"/>
    <col min="267" max="269" width="10.28515625" style="22" customWidth="1"/>
    <col min="270" max="270" width="9.5703125" style="22" customWidth="1"/>
    <col min="271" max="271" width="10.42578125" style="22" customWidth="1"/>
    <col min="272" max="272" width="9.140625" style="22"/>
    <col min="273" max="273" width="10.42578125" style="22" bestFit="1" customWidth="1"/>
    <col min="274" max="513" width="9.140625" style="22"/>
    <col min="514" max="514" width="4.28515625" style="22" customWidth="1"/>
    <col min="515" max="515" width="8.85546875" style="22" customWidth="1"/>
    <col min="516" max="516" width="60.5703125" style="22" customWidth="1"/>
    <col min="517" max="517" width="5.85546875" style="22" customWidth="1"/>
    <col min="518" max="518" width="12.140625" style="22" customWidth="1"/>
    <col min="519" max="519" width="11.5703125" style="22" customWidth="1"/>
    <col min="520" max="520" width="10.28515625" style="22" bestFit="1" customWidth="1"/>
    <col min="521" max="521" width="12.140625" style="22" customWidth="1"/>
    <col min="522" max="522" width="10.7109375" style="22" customWidth="1"/>
    <col min="523" max="525" width="10.28515625" style="22" customWidth="1"/>
    <col min="526" max="526" width="9.5703125" style="22" customWidth="1"/>
    <col min="527" max="527" width="10.42578125" style="22" customWidth="1"/>
    <col min="528" max="528" width="9.140625" style="22"/>
    <col min="529" max="529" width="10.42578125" style="22" bestFit="1" customWidth="1"/>
    <col min="530" max="769" width="9.140625" style="22"/>
    <col min="770" max="770" width="4.28515625" style="22" customWidth="1"/>
    <col min="771" max="771" width="8.85546875" style="22" customWidth="1"/>
    <col min="772" max="772" width="60.5703125" style="22" customWidth="1"/>
    <col min="773" max="773" width="5.85546875" style="22" customWidth="1"/>
    <col min="774" max="774" width="12.140625" style="22" customWidth="1"/>
    <col min="775" max="775" width="11.5703125" style="22" customWidth="1"/>
    <col min="776" max="776" width="10.28515625" style="22" bestFit="1" customWidth="1"/>
    <col min="777" max="777" width="12.140625" style="22" customWidth="1"/>
    <col min="778" max="778" width="10.7109375" style="22" customWidth="1"/>
    <col min="779" max="781" width="10.28515625" style="22" customWidth="1"/>
    <col min="782" max="782" width="9.5703125" style="22" customWidth="1"/>
    <col min="783" max="783" width="10.42578125" style="22" customWidth="1"/>
    <col min="784" max="784" width="9.140625" style="22"/>
    <col min="785" max="785" width="10.42578125" style="22" bestFit="1" customWidth="1"/>
    <col min="786" max="1025" width="9.140625" style="22"/>
    <col min="1026" max="1026" width="4.28515625" style="22" customWidth="1"/>
    <col min="1027" max="1027" width="8.85546875" style="22" customWidth="1"/>
    <col min="1028" max="1028" width="60.5703125" style="22" customWidth="1"/>
    <col min="1029" max="1029" width="5.85546875" style="22" customWidth="1"/>
    <col min="1030" max="1030" width="12.140625" style="22" customWidth="1"/>
    <col min="1031" max="1031" width="11.5703125" style="22" customWidth="1"/>
    <col min="1032" max="1032" width="10.28515625" style="22" bestFit="1" customWidth="1"/>
    <col min="1033" max="1033" width="12.140625" style="22" customWidth="1"/>
    <col min="1034" max="1034" width="10.7109375" style="22" customWidth="1"/>
    <col min="1035" max="1037" width="10.28515625" style="22" customWidth="1"/>
    <col min="1038" max="1038" width="9.5703125" style="22" customWidth="1"/>
    <col min="1039" max="1039" width="10.42578125" style="22" customWidth="1"/>
    <col min="1040" max="1040" width="9.140625" style="22"/>
    <col min="1041" max="1041" width="10.42578125" style="22" bestFit="1" customWidth="1"/>
    <col min="1042" max="1281" width="9.140625" style="22"/>
    <col min="1282" max="1282" width="4.28515625" style="22" customWidth="1"/>
    <col min="1283" max="1283" width="8.85546875" style="22" customWidth="1"/>
    <col min="1284" max="1284" width="60.5703125" style="22" customWidth="1"/>
    <col min="1285" max="1285" width="5.85546875" style="22" customWidth="1"/>
    <col min="1286" max="1286" width="12.140625" style="22" customWidth="1"/>
    <col min="1287" max="1287" width="11.5703125" style="22" customWidth="1"/>
    <col min="1288" max="1288" width="10.28515625" style="22" bestFit="1" customWidth="1"/>
    <col min="1289" max="1289" width="12.140625" style="22" customWidth="1"/>
    <col min="1290" max="1290" width="10.7109375" style="22" customWidth="1"/>
    <col min="1291" max="1293" width="10.28515625" style="22" customWidth="1"/>
    <col min="1294" max="1294" width="9.5703125" style="22" customWidth="1"/>
    <col min="1295" max="1295" width="10.42578125" style="22" customWidth="1"/>
    <col min="1296" max="1296" width="9.140625" style="22"/>
    <col min="1297" max="1297" width="10.42578125" style="22" bestFit="1" customWidth="1"/>
    <col min="1298" max="1537" width="9.140625" style="22"/>
    <col min="1538" max="1538" width="4.28515625" style="22" customWidth="1"/>
    <col min="1539" max="1539" width="8.85546875" style="22" customWidth="1"/>
    <col min="1540" max="1540" width="60.5703125" style="22" customWidth="1"/>
    <col min="1541" max="1541" width="5.85546875" style="22" customWidth="1"/>
    <col min="1542" max="1542" width="12.140625" style="22" customWidth="1"/>
    <col min="1543" max="1543" width="11.5703125" style="22" customWidth="1"/>
    <col min="1544" max="1544" width="10.28515625" style="22" bestFit="1" customWidth="1"/>
    <col min="1545" max="1545" width="12.140625" style="22" customWidth="1"/>
    <col min="1546" max="1546" width="10.7109375" style="22" customWidth="1"/>
    <col min="1547" max="1549" width="10.28515625" style="22" customWidth="1"/>
    <col min="1550" max="1550" width="9.5703125" style="22" customWidth="1"/>
    <col min="1551" max="1551" width="10.42578125" style="22" customWidth="1"/>
    <col min="1552" max="1552" width="9.140625" style="22"/>
    <col min="1553" max="1553" width="10.42578125" style="22" bestFit="1" customWidth="1"/>
    <col min="1554" max="1793" width="9.140625" style="22"/>
    <col min="1794" max="1794" width="4.28515625" style="22" customWidth="1"/>
    <col min="1795" max="1795" width="8.85546875" style="22" customWidth="1"/>
    <col min="1796" max="1796" width="60.5703125" style="22" customWidth="1"/>
    <col min="1797" max="1797" width="5.85546875" style="22" customWidth="1"/>
    <col min="1798" max="1798" width="12.140625" style="22" customWidth="1"/>
    <col min="1799" max="1799" width="11.5703125" style="22" customWidth="1"/>
    <col min="1800" max="1800" width="10.28515625" style="22" bestFit="1" customWidth="1"/>
    <col min="1801" max="1801" width="12.140625" style="22" customWidth="1"/>
    <col min="1802" max="1802" width="10.7109375" style="22" customWidth="1"/>
    <col min="1803" max="1805" width="10.28515625" style="22" customWidth="1"/>
    <col min="1806" max="1806" width="9.5703125" style="22" customWidth="1"/>
    <col min="1807" max="1807" width="10.42578125" style="22" customWidth="1"/>
    <col min="1808" max="1808" width="9.140625" style="22"/>
    <col min="1809" max="1809" width="10.42578125" style="22" bestFit="1" customWidth="1"/>
    <col min="1810" max="2049" width="9.140625" style="22"/>
    <col min="2050" max="2050" width="4.28515625" style="22" customWidth="1"/>
    <col min="2051" max="2051" width="8.85546875" style="22" customWidth="1"/>
    <col min="2052" max="2052" width="60.5703125" style="22" customWidth="1"/>
    <col min="2053" max="2053" width="5.85546875" style="22" customWidth="1"/>
    <col min="2054" max="2054" width="12.140625" style="22" customWidth="1"/>
    <col min="2055" max="2055" width="11.5703125" style="22" customWidth="1"/>
    <col min="2056" max="2056" width="10.28515625" style="22" bestFit="1" customWidth="1"/>
    <col min="2057" max="2057" width="12.140625" style="22" customWidth="1"/>
    <col min="2058" max="2058" width="10.7109375" style="22" customWidth="1"/>
    <col min="2059" max="2061" width="10.28515625" style="22" customWidth="1"/>
    <col min="2062" max="2062" width="9.5703125" style="22" customWidth="1"/>
    <col min="2063" max="2063" width="10.42578125" style="22" customWidth="1"/>
    <col min="2064" max="2064" width="9.140625" style="22"/>
    <col min="2065" max="2065" width="10.42578125" style="22" bestFit="1" customWidth="1"/>
    <col min="2066" max="2305" width="9.140625" style="22"/>
    <col min="2306" max="2306" width="4.28515625" style="22" customWidth="1"/>
    <col min="2307" max="2307" width="8.85546875" style="22" customWidth="1"/>
    <col min="2308" max="2308" width="60.5703125" style="22" customWidth="1"/>
    <col min="2309" max="2309" width="5.85546875" style="22" customWidth="1"/>
    <col min="2310" max="2310" width="12.140625" style="22" customWidth="1"/>
    <col min="2311" max="2311" width="11.5703125" style="22" customWidth="1"/>
    <col min="2312" max="2312" width="10.28515625" style="22" bestFit="1" customWidth="1"/>
    <col min="2313" max="2313" width="12.140625" style="22" customWidth="1"/>
    <col min="2314" max="2314" width="10.7109375" style="22" customWidth="1"/>
    <col min="2315" max="2317" width="10.28515625" style="22" customWidth="1"/>
    <col min="2318" max="2318" width="9.5703125" style="22" customWidth="1"/>
    <col min="2319" max="2319" width="10.42578125" style="22" customWidth="1"/>
    <col min="2320" max="2320" width="9.140625" style="22"/>
    <col min="2321" max="2321" width="10.42578125" style="22" bestFit="1" customWidth="1"/>
    <col min="2322" max="2561" width="9.140625" style="22"/>
    <col min="2562" max="2562" width="4.28515625" style="22" customWidth="1"/>
    <col min="2563" max="2563" width="8.85546875" style="22" customWidth="1"/>
    <col min="2564" max="2564" width="60.5703125" style="22" customWidth="1"/>
    <col min="2565" max="2565" width="5.85546875" style="22" customWidth="1"/>
    <col min="2566" max="2566" width="12.140625" style="22" customWidth="1"/>
    <col min="2567" max="2567" width="11.5703125" style="22" customWidth="1"/>
    <col min="2568" max="2568" width="10.28515625" style="22" bestFit="1" customWidth="1"/>
    <col min="2569" max="2569" width="12.140625" style="22" customWidth="1"/>
    <col min="2570" max="2570" width="10.7109375" style="22" customWidth="1"/>
    <col min="2571" max="2573" width="10.28515625" style="22" customWidth="1"/>
    <col min="2574" max="2574" width="9.5703125" style="22" customWidth="1"/>
    <col min="2575" max="2575" width="10.42578125" style="22" customWidth="1"/>
    <col min="2576" max="2576" width="9.140625" style="22"/>
    <col min="2577" max="2577" width="10.42578125" style="22" bestFit="1" customWidth="1"/>
    <col min="2578" max="2817" width="9.140625" style="22"/>
    <col min="2818" max="2818" width="4.28515625" style="22" customWidth="1"/>
    <col min="2819" max="2819" width="8.85546875" style="22" customWidth="1"/>
    <col min="2820" max="2820" width="60.5703125" style="22" customWidth="1"/>
    <col min="2821" max="2821" width="5.85546875" style="22" customWidth="1"/>
    <col min="2822" max="2822" width="12.140625" style="22" customWidth="1"/>
    <col min="2823" max="2823" width="11.5703125" style="22" customWidth="1"/>
    <col min="2824" max="2824" width="10.28515625" style="22" bestFit="1" customWidth="1"/>
    <col min="2825" max="2825" width="12.140625" style="22" customWidth="1"/>
    <col min="2826" max="2826" width="10.7109375" style="22" customWidth="1"/>
    <col min="2827" max="2829" width="10.28515625" style="22" customWidth="1"/>
    <col min="2830" max="2830" width="9.5703125" style="22" customWidth="1"/>
    <col min="2831" max="2831" width="10.42578125" style="22" customWidth="1"/>
    <col min="2832" max="2832" width="9.140625" style="22"/>
    <col min="2833" max="2833" width="10.42578125" style="22" bestFit="1" customWidth="1"/>
    <col min="2834" max="3073" width="9.140625" style="22"/>
    <col min="3074" max="3074" width="4.28515625" style="22" customWidth="1"/>
    <col min="3075" max="3075" width="8.85546875" style="22" customWidth="1"/>
    <col min="3076" max="3076" width="60.5703125" style="22" customWidth="1"/>
    <col min="3077" max="3077" width="5.85546875" style="22" customWidth="1"/>
    <col min="3078" max="3078" width="12.140625" style="22" customWidth="1"/>
    <col min="3079" max="3079" width="11.5703125" style="22" customWidth="1"/>
    <col min="3080" max="3080" width="10.28515625" style="22" bestFit="1" customWidth="1"/>
    <col min="3081" max="3081" width="12.140625" style="22" customWidth="1"/>
    <col min="3082" max="3082" width="10.7109375" style="22" customWidth="1"/>
    <col min="3083" max="3085" width="10.28515625" style="22" customWidth="1"/>
    <col min="3086" max="3086" width="9.5703125" style="22" customWidth="1"/>
    <col min="3087" max="3087" width="10.42578125" style="22" customWidth="1"/>
    <col min="3088" max="3088" width="9.140625" style="22"/>
    <col min="3089" max="3089" width="10.42578125" style="22" bestFit="1" customWidth="1"/>
    <col min="3090" max="3329" width="9.140625" style="22"/>
    <col min="3330" max="3330" width="4.28515625" style="22" customWidth="1"/>
    <col min="3331" max="3331" width="8.85546875" style="22" customWidth="1"/>
    <col min="3332" max="3332" width="60.5703125" style="22" customWidth="1"/>
    <col min="3333" max="3333" width="5.85546875" style="22" customWidth="1"/>
    <col min="3334" max="3334" width="12.140625" style="22" customWidth="1"/>
    <col min="3335" max="3335" width="11.5703125" style="22" customWidth="1"/>
    <col min="3336" max="3336" width="10.28515625" style="22" bestFit="1" customWidth="1"/>
    <col min="3337" max="3337" width="12.140625" style="22" customWidth="1"/>
    <col min="3338" max="3338" width="10.7109375" style="22" customWidth="1"/>
    <col min="3339" max="3341" width="10.28515625" style="22" customWidth="1"/>
    <col min="3342" max="3342" width="9.5703125" style="22" customWidth="1"/>
    <col min="3343" max="3343" width="10.42578125" style="22" customWidth="1"/>
    <col min="3344" max="3344" width="9.140625" style="22"/>
    <col min="3345" max="3345" width="10.42578125" style="22" bestFit="1" customWidth="1"/>
    <col min="3346" max="3585" width="9.140625" style="22"/>
    <col min="3586" max="3586" width="4.28515625" style="22" customWidth="1"/>
    <col min="3587" max="3587" width="8.85546875" style="22" customWidth="1"/>
    <col min="3588" max="3588" width="60.5703125" style="22" customWidth="1"/>
    <col min="3589" max="3589" width="5.85546875" style="22" customWidth="1"/>
    <col min="3590" max="3590" width="12.140625" style="22" customWidth="1"/>
    <col min="3591" max="3591" width="11.5703125" style="22" customWidth="1"/>
    <col min="3592" max="3592" width="10.28515625" style="22" bestFit="1" customWidth="1"/>
    <col min="3593" max="3593" width="12.140625" style="22" customWidth="1"/>
    <col min="3594" max="3594" width="10.7109375" style="22" customWidth="1"/>
    <col min="3595" max="3597" width="10.28515625" style="22" customWidth="1"/>
    <col min="3598" max="3598" width="9.5703125" style="22" customWidth="1"/>
    <col min="3599" max="3599" width="10.42578125" style="22" customWidth="1"/>
    <col min="3600" max="3600" width="9.140625" style="22"/>
    <col min="3601" max="3601" width="10.42578125" style="22" bestFit="1" customWidth="1"/>
    <col min="3602" max="3841" width="9.140625" style="22"/>
    <col min="3842" max="3842" width="4.28515625" style="22" customWidth="1"/>
    <col min="3843" max="3843" width="8.85546875" style="22" customWidth="1"/>
    <col min="3844" max="3844" width="60.5703125" style="22" customWidth="1"/>
    <col min="3845" max="3845" width="5.85546875" style="22" customWidth="1"/>
    <col min="3846" max="3846" width="12.140625" style="22" customWidth="1"/>
    <col min="3847" max="3847" width="11.5703125" style="22" customWidth="1"/>
    <col min="3848" max="3848" width="10.28515625" style="22" bestFit="1" customWidth="1"/>
    <col min="3849" max="3849" width="12.140625" style="22" customWidth="1"/>
    <col min="3850" max="3850" width="10.7109375" style="22" customWidth="1"/>
    <col min="3851" max="3853" width="10.28515625" style="22" customWidth="1"/>
    <col min="3854" max="3854" width="9.5703125" style="22" customWidth="1"/>
    <col min="3855" max="3855" width="10.42578125" style="22" customWidth="1"/>
    <col min="3856" max="3856" width="9.140625" style="22"/>
    <col min="3857" max="3857" width="10.42578125" style="22" bestFit="1" customWidth="1"/>
    <col min="3858" max="4097" width="9.140625" style="22"/>
    <col min="4098" max="4098" width="4.28515625" style="22" customWidth="1"/>
    <col min="4099" max="4099" width="8.85546875" style="22" customWidth="1"/>
    <col min="4100" max="4100" width="60.5703125" style="22" customWidth="1"/>
    <col min="4101" max="4101" width="5.85546875" style="22" customWidth="1"/>
    <col min="4102" max="4102" width="12.140625" style="22" customWidth="1"/>
    <col min="4103" max="4103" width="11.5703125" style="22" customWidth="1"/>
    <col min="4104" max="4104" width="10.28515625" style="22" bestFit="1" customWidth="1"/>
    <col min="4105" max="4105" width="12.140625" style="22" customWidth="1"/>
    <col min="4106" max="4106" width="10.7109375" style="22" customWidth="1"/>
    <col min="4107" max="4109" width="10.28515625" style="22" customWidth="1"/>
    <col min="4110" max="4110" width="9.5703125" style="22" customWidth="1"/>
    <col min="4111" max="4111" width="10.42578125" style="22" customWidth="1"/>
    <col min="4112" max="4112" width="9.140625" style="22"/>
    <col min="4113" max="4113" width="10.42578125" style="22" bestFit="1" customWidth="1"/>
    <col min="4114" max="4353" width="9.140625" style="22"/>
    <col min="4354" max="4354" width="4.28515625" style="22" customWidth="1"/>
    <col min="4355" max="4355" width="8.85546875" style="22" customWidth="1"/>
    <col min="4356" max="4356" width="60.5703125" style="22" customWidth="1"/>
    <col min="4357" max="4357" width="5.85546875" style="22" customWidth="1"/>
    <col min="4358" max="4358" width="12.140625" style="22" customWidth="1"/>
    <col min="4359" max="4359" width="11.5703125" style="22" customWidth="1"/>
    <col min="4360" max="4360" width="10.28515625" style="22" bestFit="1" customWidth="1"/>
    <col min="4361" max="4361" width="12.140625" style="22" customWidth="1"/>
    <col min="4362" max="4362" width="10.7109375" style="22" customWidth="1"/>
    <col min="4363" max="4365" width="10.28515625" style="22" customWidth="1"/>
    <col min="4366" max="4366" width="9.5703125" style="22" customWidth="1"/>
    <col min="4367" max="4367" width="10.42578125" style="22" customWidth="1"/>
    <col min="4368" max="4368" width="9.140625" style="22"/>
    <col min="4369" max="4369" width="10.42578125" style="22" bestFit="1" customWidth="1"/>
    <col min="4370" max="4609" width="9.140625" style="22"/>
    <col min="4610" max="4610" width="4.28515625" style="22" customWidth="1"/>
    <col min="4611" max="4611" width="8.85546875" style="22" customWidth="1"/>
    <col min="4612" max="4612" width="60.5703125" style="22" customWidth="1"/>
    <col min="4613" max="4613" width="5.85546875" style="22" customWidth="1"/>
    <col min="4614" max="4614" width="12.140625" style="22" customWidth="1"/>
    <col min="4615" max="4615" width="11.5703125" style="22" customWidth="1"/>
    <col min="4616" max="4616" width="10.28515625" style="22" bestFit="1" customWidth="1"/>
    <col min="4617" max="4617" width="12.140625" style="22" customWidth="1"/>
    <col min="4618" max="4618" width="10.7109375" style="22" customWidth="1"/>
    <col min="4619" max="4621" width="10.28515625" style="22" customWidth="1"/>
    <col min="4622" max="4622" width="9.5703125" style="22" customWidth="1"/>
    <col min="4623" max="4623" width="10.42578125" style="22" customWidth="1"/>
    <col min="4624" max="4624" width="9.140625" style="22"/>
    <col min="4625" max="4625" width="10.42578125" style="22" bestFit="1" customWidth="1"/>
    <col min="4626" max="4865" width="9.140625" style="22"/>
    <col min="4866" max="4866" width="4.28515625" style="22" customWidth="1"/>
    <col min="4867" max="4867" width="8.85546875" style="22" customWidth="1"/>
    <col min="4868" max="4868" width="60.5703125" style="22" customWidth="1"/>
    <col min="4869" max="4869" width="5.85546875" style="22" customWidth="1"/>
    <col min="4870" max="4870" width="12.140625" style="22" customWidth="1"/>
    <col min="4871" max="4871" width="11.5703125" style="22" customWidth="1"/>
    <col min="4872" max="4872" width="10.28515625" style="22" bestFit="1" customWidth="1"/>
    <col min="4873" max="4873" width="12.140625" style="22" customWidth="1"/>
    <col min="4874" max="4874" width="10.7109375" style="22" customWidth="1"/>
    <col min="4875" max="4877" width="10.28515625" style="22" customWidth="1"/>
    <col min="4878" max="4878" width="9.5703125" style="22" customWidth="1"/>
    <col min="4879" max="4879" width="10.42578125" style="22" customWidth="1"/>
    <col min="4880" max="4880" width="9.140625" style="22"/>
    <col min="4881" max="4881" width="10.42578125" style="22" bestFit="1" customWidth="1"/>
    <col min="4882" max="5121" width="9.140625" style="22"/>
    <col min="5122" max="5122" width="4.28515625" style="22" customWidth="1"/>
    <col min="5123" max="5123" width="8.85546875" style="22" customWidth="1"/>
    <col min="5124" max="5124" width="60.5703125" style="22" customWidth="1"/>
    <col min="5125" max="5125" width="5.85546875" style="22" customWidth="1"/>
    <col min="5126" max="5126" width="12.140625" style="22" customWidth="1"/>
    <col min="5127" max="5127" width="11.5703125" style="22" customWidth="1"/>
    <col min="5128" max="5128" width="10.28515625" style="22" bestFit="1" customWidth="1"/>
    <col min="5129" max="5129" width="12.140625" style="22" customWidth="1"/>
    <col min="5130" max="5130" width="10.7109375" style="22" customWidth="1"/>
    <col min="5131" max="5133" width="10.28515625" style="22" customWidth="1"/>
    <col min="5134" max="5134" width="9.5703125" style="22" customWidth="1"/>
    <col min="5135" max="5135" width="10.42578125" style="22" customWidth="1"/>
    <col min="5136" max="5136" width="9.140625" style="22"/>
    <col min="5137" max="5137" width="10.42578125" style="22" bestFit="1" customWidth="1"/>
    <col min="5138" max="5377" width="9.140625" style="22"/>
    <col min="5378" max="5378" width="4.28515625" style="22" customWidth="1"/>
    <col min="5379" max="5379" width="8.85546875" style="22" customWidth="1"/>
    <col min="5380" max="5380" width="60.5703125" style="22" customWidth="1"/>
    <col min="5381" max="5381" width="5.85546875" style="22" customWidth="1"/>
    <col min="5382" max="5382" width="12.140625" style="22" customWidth="1"/>
    <col min="5383" max="5383" width="11.5703125" style="22" customWidth="1"/>
    <col min="5384" max="5384" width="10.28515625" style="22" bestFit="1" customWidth="1"/>
    <col min="5385" max="5385" width="12.140625" style="22" customWidth="1"/>
    <col min="5386" max="5386" width="10.7109375" style="22" customWidth="1"/>
    <col min="5387" max="5389" width="10.28515625" style="22" customWidth="1"/>
    <col min="5390" max="5390" width="9.5703125" style="22" customWidth="1"/>
    <col min="5391" max="5391" width="10.42578125" style="22" customWidth="1"/>
    <col min="5392" max="5392" width="9.140625" style="22"/>
    <col min="5393" max="5393" width="10.42578125" style="22" bestFit="1" customWidth="1"/>
    <col min="5394" max="5633" width="9.140625" style="22"/>
    <col min="5634" max="5634" width="4.28515625" style="22" customWidth="1"/>
    <col min="5635" max="5635" width="8.85546875" style="22" customWidth="1"/>
    <col min="5636" max="5636" width="60.5703125" style="22" customWidth="1"/>
    <col min="5637" max="5637" width="5.85546875" style="22" customWidth="1"/>
    <col min="5638" max="5638" width="12.140625" style="22" customWidth="1"/>
    <col min="5639" max="5639" width="11.5703125" style="22" customWidth="1"/>
    <col min="5640" max="5640" width="10.28515625" style="22" bestFit="1" customWidth="1"/>
    <col min="5641" max="5641" width="12.140625" style="22" customWidth="1"/>
    <col min="5642" max="5642" width="10.7109375" style="22" customWidth="1"/>
    <col min="5643" max="5645" width="10.28515625" style="22" customWidth="1"/>
    <col min="5646" max="5646" width="9.5703125" style="22" customWidth="1"/>
    <col min="5647" max="5647" width="10.42578125" style="22" customWidth="1"/>
    <col min="5648" max="5648" width="9.140625" style="22"/>
    <col min="5649" max="5649" width="10.42578125" style="22" bestFit="1" customWidth="1"/>
    <col min="5650" max="5889" width="9.140625" style="22"/>
    <col min="5890" max="5890" width="4.28515625" style="22" customWidth="1"/>
    <col min="5891" max="5891" width="8.85546875" style="22" customWidth="1"/>
    <col min="5892" max="5892" width="60.5703125" style="22" customWidth="1"/>
    <col min="5893" max="5893" width="5.85546875" style="22" customWidth="1"/>
    <col min="5894" max="5894" width="12.140625" style="22" customWidth="1"/>
    <col min="5895" max="5895" width="11.5703125" style="22" customWidth="1"/>
    <col min="5896" max="5896" width="10.28515625" style="22" bestFit="1" customWidth="1"/>
    <col min="5897" max="5897" width="12.140625" style="22" customWidth="1"/>
    <col min="5898" max="5898" width="10.7109375" style="22" customWidth="1"/>
    <col min="5899" max="5901" width="10.28515625" style="22" customWidth="1"/>
    <col min="5902" max="5902" width="9.5703125" style="22" customWidth="1"/>
    <col min="5903" max="5903" width="10.42578125" style="22" customWidth="1"/>
    <col min="5904" max="5904" width="9.140625" style="22"/>
    <col min="5905" max="5905" width="10.42578125" style="22" bestFit="1" customWidth="1"/>
    <col min="5906" max="6145" width="9.140625" style="22"/>
    <col min="6146" max="6146" width="4.28515625" style="22" customWidth="1"/>
    <col min="6147" max="6147" width="8.85546875" style="22" customWidth="1"/>
    <col min="6148" max="6148" width="60.5703125" style="22" customWidth="1"/>
    <col min="6149" max="6149" width="5.85546875" style="22" customWidth="1"/>
    <col min="6150" max="6150" width="12.140625" style="22" customWidth="1"/>
    <col min="6151" max="6151" width="11.5703125" style="22" customWidth="1"/>
    <col min="6152" max="6152" width="10.28515625" style="22" bestFit="1" customWidth="1"/>
    <col min="6153" max="6153" width="12.140625" style="22" customWidth="1"/>
    <col min="6154" max="6154" width="10.7109375" style="22" customWidth="1"/>
    <col min="6155" max="6157" width="10.28515625" style="22" customWidth="1"/>
    <col min="6158" max="6158" width="9.5703125" style="22" customWidth="1"/>
    <col min="6159" max="6159" width="10.42578125" style="22" customWidth="1"/>
    <col min="6160" max="6160" width="9.140625" style="22"/>
    <col min="6161" max="6161" width="10.42578125" style="22" bestFit="1" customWidth="1"/>
    <col min="6162" max="6401" width="9.140625" style="22"/>
    <col min="6402" max="6402" width="4.28515625" style="22" customWidth="1"/>
    <col min="6403" max="6403" width="8.85546875" style="22" customWidth="1"/>
    <col min="6404" max="6404" width="60.5703125" style="22" customWidth="1"/>
    <col min="6405" max="6405" width="5.85546875" style="22" customWidth="1"/>
    <col min="6406" max="6406" width="12.140625" style="22" customWidth="1"/>
    <col min="6407" max="6407" width="11.5703125" style="22" customWidth="1"/>
    <col min="6408" max="6408" width="10.28515625" style="22" bestFit="1" customWidth="1"/>
    <col min="6409" max="6409" width="12.140625" style="22" customWidth="1"/>
    <col min="6410" max="6410" width="10.7109375" style="22" customWidth="1"/>
    <col min="6411" max="6413" width="10.28515625" style="22" customWidth="1"/>
    <col min="6414" max="6414" width="9.5703125" style="22" customWidth="1"/>
    <col min="6415" max="6415" width="10.42578125" style="22" customWidth="1"/>
    <col min="6416" max="6416" width="9.140625" style="22"/>
    <col min="6417" max="6417" width="10.42578125" style="22" bestFit="1" customWidth="1"/>
    <col min="6418" max="6657" width="9.140625" style="22"/>
    <col min="6658" max="6658" width="4.28515625" style="22" customWidth="1"/>
    <col min="6659" max="6659" width="8.85546875" style="22" customWidth="1"/>
    <col min="6660" max="6660" width="60.5703125" style="22" customWidth="1"/>
    <col min="6661" max="6661" width="5.85546875" style="22" customWidth="1"/>
    <col min="6662" max="6662" width="12.140625" style="22" customWidth="1"/>
    <col min="6663" max="6663" width="11.5703125" style="22" customWidth="1"/>
    <col min="6664" max="6664" width="10.28515625" style="22" bestFit="1" customWidth="1"/>
    <col min="6665" max="6665" width="12.140625" style="22" customWidth="1"/>
    <col min="6666" max="6666" width="10.7109375" style="22" customWidth="1"/>
    <col min="6667" max="6669" width="10.28515625" style="22" customWidth="1"/>
    <col min="6670" max="6670" width="9.5703125" style="22" customWidth="1"/>
    <col min="6671" max="6671" width="10.42578125" style="22" customWidth="1"/>
    <col min="6672" max="6672" width="9.140625" style="22"/>
    <col min="6673" max="6673" width="10.42578125" style="22" bestFit="1" customWidth="1"/>
    <col min="6674" max="6913" width="9.140625" style="22"/>
    <col min="6914" max="6914" width="4.28515625" style="22" customWidth="1"/>
    <col min="6915" max="6915" width="8.85546875" style="22" customWidth="1"/>
    <col min="6916" max="6916" width="60.5703125" style="22" customWidth="1"/>
    <col min="6917" max="6917" width="5.85546875" style="22" customWidth="1"/>
    <col min="6918" max="6918" width="12.140625" style="22" customWidth="1"/>
    <col min="6919" max="6919" width="11.5703125" style="22" customWidth="1"/>
    <col min="6920" max="6920" width="10.28515625" style="22" bestFit="1" customWidth="1"/>
    <col min="6921" max="6921" width="12.140625" style="22" customWidth="1"/>
    <col min="6922" max="6922" width="10.7109375" style="22" customWidth="1"/>
    <col min="6923" max="6925" width="10.28515625" style="22" customWidth="1"/>
    <col min="6926" max="6926" width="9.5703125" style="22" customWidth="1"/>
    <col min="6927" max="6927" width="10.42578125" style="22" customWidth="1"/>
    <col min="6928" max="6928" width="9.140625" style="22"/>
    <col min="6929" max="6929" width="10.42578125" style="22" bestFit="1" customWidth="1"/>
    <col min="6930" max="7169" width="9.140625" style="22"/>
    <col min="7170" max="7170" width="4.28515625" style="22" customWidth="1"/>
    <col min="7171" max="7171" width="8.85546875" style="22" customWidth="1"/>
    <col min="7172" max="7172" width="60.5703125" style="22" customWidth="1"/>
    <col min="7173" max="7173" width="5.85546875" style="22" customWidth="1"/>
    <col min="7174" max="7174" width="12.140625" style="22" customWidth="1"/>
    <col min="7175" max="7175" width="11.5703125" style="22" customWidth="1"/>
    <col min="7176" max="7176" width="10.28515625" style="22" bestFit="1" customWidth="1"/>
    <col min="7177" max="7177" width="12.140625" style="22" customWidth="1"/>
    <col min="7178" max="7178" width="10.7109375" style="22" customWidth="1"/>
    <col min="7179" max="7181" width="10.28515625" style="22" customWidth="1"/>
    <col min="7182" max="7182" width="9.5703125" style="22" customWidth="1"/>
    <col min="7183" max="7183" width="10.42578125" style="22" customWidth="1"/>
    <col min="7184" max="7184" width="9.140625" style="22"/>
    <col min="7185" max="7185" width="10.42578125" style="22" bestFit="1" customWidth="1"/>
    <col min="7186" max="7425" width="9.140625" style="22"/>
    <col min="7426" max="7426" width="4.28515625" style="22" customWidth="1"/>
    <col min="7427" max="7427" width="8.85546875" style="22" customWidth="1"/>
    <col min="7428" max="7428" width="60.5703125" style="22" customWidth="1"/>
    <col min="7429" max="7429" width="5.85546875" style="22" customWidth="1"/>
    <col min="7430" max="7430" width="12.140625" style="22" customWidth="1"/>
    <col min="7431" max="7431" width="11.5703125" style="22" customWidth="1"/>
    <col min="7432" max="7432" width="10.28515625" style="22" bestFit="1" customWidth="1"/>
    <col min="7433" max="7433" width="12.140625" style="22" customWidth="1"/>
    <col min="7434" max="7434" width="10.7109375" style="22" customWidth="1"/>
    <col min="7435" max="7437" width="10.28515625" style="22" customWidth="1"/>
    <col min="7438" max="7438" width="9.5703125" style="22" customWidth="1"/>
    <col min="7439" max="7439" width="10.42578125" style="22" customWidth="1"/>
    <col min="7440" max="7440" width="9.140625" style="22"/>
    <col min="7441" max="7441" width="10.42578125" style="22" bestFit="1" customWidth="1"/>
    <col min="7442" max="7681" width="9.140625" style="22"/>
    <col min="7682" max="7682" width="4.28515625" style="22" customWidth="1"/>
    <col min="7683" max="7683" width="8.85546875" style="22" customWidth="1"/>
    <col min="7684" max="7684" width="60.5703125" style="22" customWidth="1"/>
    <col min="7685" max="7685" width="5.85546875" style="22" customWidth="1"/>
    <col min="7686" max="7686" width="12.140625" style="22" customWidth="1"/>
    <col min="7687" max="7687" width="11.5703125" style="22" customWidth="1"/>
    <col min="7688" max="7688" width="10.28515625" style="22" bestFit="1" customWidth="1"/>
    <col min="7689" max="7689" width="12.140625" style="22" customWidth="1"/>
    <col min="7690" max="7690" width="10.7109375" style="22" customWidth="1"/>
    <col min="7691" max="7693" width="10.28515625" style="22" customWidth="1"/>
    <col min="7694" max="7694" width="9.5703125" style="22" customWidth="1"/>
    <col min="7695" max="7695" width="10.42578125" style="22" customWidth="1"/>
    <col min="7696" max="7696" width="9.140625" style="22"/>
    <col min="7697" max="7697" width="10.42578125" style="22" bestFit="1" customWidth="1"/>
    <col min="7698" max="7937" width="9.140625" style="22"/>
    <col min="7938" max="7938" width="4.28515625" style="22" customWidth="1"/>
    <col min="7939" max="7939" width="8.85546875" style="22" customWidth="1"/>
    <col min="7940" max="7940" width="60.5703125" style="22" customWidth="1"/>
    <col min="7941" max="7941" width="5.85546875" style="22" customWidth="1"/>
    <col min="7942" max="7942" width="12.140625" style="22" customWidth="1"/>
    <col min="7943" max="7943" width="11.5703125" style="22" customWidth="1"/>
    <col min="7944" max="7944" width="10.28515625" style="22" bestFit="1" customWidth="1"/>
    <col min="7945" max="7945" width="12.140625" style="22" customWidth="1"/>
    <col min="7946" max="7946" width="10.7109375" style="22" customWidth="1"/>
    <col min="7947" max="7949" width="10.28515625" style="22" customWidth="1"/>
    <col min="7950" max="7950" width="9.5703125" style="22" customWidth="1"/>
    <col min="7951" max="7951" width="10.42578125" style="22" customWidth="1"/>
    <col min="7952" max="7952" width="9.140625" style="22"/>
    <col min="7953" max="7953" width="10.42578125" style="22" bestFit="1" customWidth="1"/>
    <col min="7954" max="8193" width="9.140625" style="22"/>
    <col min="8194" max="8194" width="4.28515625" style="22" customWidth="1"/>
    <col min="8195" max="8195" width="8.85546875" style="22" customWidth="1"/>
    <col min="8196" max="8196" width="60.5703125" style="22" customWidth="1"/>
    <col min="8197" max="8197" width="5.85546875" style="22" customWidth="1"/>
    <col min="8198" max="8198" width="12.140625" style="22" customWidth="1"/>
    <col min="8199" max="8199" width="11.5703125" style="22" customWidth="1"/>
    <col min="8200" max="8200" width="10.28515625" style="22" bestFit="1" customWidth="1"/>
    <col min="8201" max="8201" width="12.140625" style="22" customWidth="1"/>
    <col min="8202" max="8202" width="10.7109375" style="22" customWidth="1"/>
    <col min="8203" max="8205" width="10.28515625" style="22" customWidth="1"/>
    <col min="8206" max="8206" width="9.5703125" style="22" customWidth="1"/>
    <col min="8207" max="8207" width="10.42578125" style="22" customWidth="1"/>
    <col min="8208" max="8208" width="9.140625" style="22"/>
    <col min="8209" max="8209" width="10.42578125" style="22" bestFit="1" customWidth="1"/>
    <col min="8210" max="8449" width="9.140625" style="22"/>
    <col min="8450" max="8450" width="4.28515625" style="22" customWidth="1"/>
    <col min="8451" max="8451" width="8.85546875" style="22" customWidth="1"/>
    <col min="8452" max="8452" width="60.5703125" style="22" customWidth="1"/>
    <col min="8453" max="8453" width="5.85546875" style="22" customWidth="1"/>
    <col min="8454" max="8454" width="12.140625" style="22" customWidth="1"/>
    <col min="8455" max="8455" width="11.5703125" style="22" customWidth="1"/>
    <col min="8456" max="8456" width="10.28515625" style="22" bestFit="1" customWidth="1"/>
    <col min="8457" max="8457" width="12.140625" style="22" customWidth="1"/>
    <col min="8458" max="8458" width="10.7109375" style="22" customWidth="1"/>
    <col min="8459" max="8461" width="10.28515625" style="22" customWidth="1"/>
    <col min="8462" max="8462" width="9.5703125" style="22" customWidth="1"/>
    <col min="8463" max="8463" width="10.42578125" style="22" customWidth="1"/>
    <col min="8464" max="8464" width="9.140625" style="22"/>
    <col min="8465" max="8465" width="10.42578125" style="22" bestFit="1" customWidth="1"/>
    <col min="8466" max="8705" width="9.140625" style="22"/>
    <col min="8706" max="8706" width="4.28515625" style="22" customWidth="1"/>
    <col min="8707" max="8707" width="8.85546875" style="22" customWidth="1"/>
    <col min="8708" max="8708" width="60.5703125" style="22" customWidth="1"/>
    <col min="8709" max="8709" width="5.85546875" style="22" customWidth="1"/>
    <col min="8710" max="8710" width="12.140625" style="22" customWidth="1"/>
    <col min="8711" max="8711" width="11.5703125" style="22" customWidth="1"/>
    <col min="8712" max="8712" width="10.28515625" style="22" bestFit="1" customWidth="1"/>
    <col min="8713" max="8713" width="12.140625" style="22" customWidth="1"/>
    <col min="8714" max="8714" width="10.7109375" style="22" customWidth="1"/>
    <col min="8715" max="8717" width="10.28515625" style="22" customWidth="1"/>
    <col min="8718" max="8718" width="9.5703125" style="22" customWidth="1"/>
    <col min="8719" max="8719" width="10.42578125" style="22" customWidth="1"/>
    <col min="8720" max="8720" width="9.140625" style="22"/>
    <col min="8721" max="8721" width="10.42578125" style="22" bestFit="1" customWidth="1"/>
    <col min="8722" max="8961" width="9.140625" style="22"/>
    <col min="8962" max="8962" width="4.28515625" style="22" customWidth="1"/>
    <col min="8963" max="8963" width="8.85546875" style="22" customWidth="1"/>
    <col min="8964" max="8964" width="60.5703125" style="22" customWidth="1"/>
    <col min="8965" max="8965" width="5.85546875" style="22" customWidth="1"/>
    <col min="8966" max="8966" width="12.140625" style="22" customWidth="1"/>
    <col min="8967" max="8967" width="11.5703125" style="22" customWidth="1"/>
    <col min="8968" max="8968" width="10.28515625" style="22" bestFit="1" customWidth="1"/>
    <col min="8969" max="8969" width="12.140625" style="22" customWidth="1"/>
    <col min="8970" max="8970" width="10.7109375" style="22" customWidth="1"/>
    <col min="8971" max="8973" width="10.28515625" style="22" customWidth="1"/>
    <col min="8974" max="8974" width="9.5703125" style="22" customWidth="1"/>
    <col min="8975" max="8975" width="10.42578125" style="22" customWidth="1"/>
    <col min="8976" max="8976" width="9.140625" style="22"/>
    <col min="8977" max="8977" width="10.42578125" style="22" bestFit="1" customWidth="1"/>
    <col min="8978" max="9217" width="9.140625" style="22"/>
    <col min="9218" max="9218" width="4.28515625" style="22" customWidth="1"/>
    <col min="9219" max="9219" width="8.85546875" style="22" customWidth="1"/>
    <col min="9220" max="9220" width="60.5703125" style="22" customWidth="1"/>
    <col min="9221" max="9221" width="5.85546875" style="22" customWidth="1"/>
    <col min="9222" max="9222" width="12.140625" style="22" customWidth="1"/>
    <col min="9223" max="9223" width="11.5703125" style="22" customWidth="1"/>
    <col min="9224" max="9224" width="10.28515625" style="22" bestFit="1" customWidth="1"/>
    <col min="9225" max="9225" width="12.140625" style="22" customWidth="1"/>
    <col min="9226" max="9226" width="10.7109375" style="22" customWidth="1"/>
    <col min="9227" max="9229" width="10.28515625" style="22" customWidth="1"/>
    <col min="9230" max="9230" width="9.5703125" style="22" customWidth="1"/>
    <col min="9231" max="9231" width="10.42578125" style="22" customWidth="1"/>
    <col min="9232" max="9232" width="9.140625" style="22"/>
    <col min="9233" max="9233" width="10.42578125" style="22" bestFit="1" customWidth="1"/>
    <col min="9234" max="9473" width="9.140625" style="22"/>
    <col min="9474" max="9474" width="4.28515625" style="22" customWidth="1"/>
    <col min="9475" max="9475" width="8.85546875" style="22" customWidth="1"/>
    <col min="9476" max="9476" width="60.5703125" style="22" customWidth="1"/>
    <col min="9477" max="9477" width="5.85546875" style="22" customWidth="1"/>
    <col min="9478" max="9478" width="12.140625" style="22" customWidth="1"/>
    <col min="9479" max="9479" width="11.5703125" style="22" customWidth="1"/>
    <col min="9480" max="9480" width="10.28515625" style="22" bestFit="1" customWidth="1"/>
    <col min="9481" max="9481" width="12.140625" style="22" customWidth="1"/>
    <col min="9482" max="9482" width="10.7109375" style="22" customWidth="1"/>
    <col min="9483" max="9485" width="10.28515625" style="22" customWidth="1"/>
    <col min="9486" max="9486" width="9.5703125" style="22" customWidth="1"/>
    <col min="9487" max="9487" width="10.42578125" style="22" customWidth="1"/>
    <col min="9488" max="9488" width="9.140625" style="22"/>
    <col min="9489" max="9489" width="10.42578125" style="22" bestFit="1" customWidth="1"/>
    <col min="9490" max="9729" width="9.140625" style="22"/>
    <col min="9730" max="9730" width="4.28515625" style="22" customWidth="1"/>
    <col min="9731" max="9731" width="8.85546875" style="22" customWidth="1"/>
    <col min="9732" max="9732" width="60.5703125" style="22" customWidth="1"/>
    <col min="9733" max="9733" width="5.85546875" style="22" customWidth="1"/>
    <col min="9734" max="9734" width="12.140625" style="22" customWidth="1"/>
    <col min="9735" max="9735" width="11.5703125" style="22" customWidth="1"/>
    <col min="9736" max="9736" width="10.28515625" style="22" bestFit="1" customWidth="1"/>
    <col min="9737" max="9737" width="12.140625" style="22" customWidth="1"/>
    <col min="9738" max="9738" width="10.7109375" style="22" customWidth="1"/>
    <col min="9739" max="9741" width="10.28515625" style="22" customWidth="1"/>
    <col min="9742" max="9742" width="9.5703125" style="22" customWidth="1"/>
    <col min="9743" max="9743" width="10.42578125" style="22" customWidth="1"/>
    <col min="9744" max="9744" width="9.140625" style="22"/>
    <col min="9745" max="9745" width="10.42578125" style="22" bestFit="1" customWidth="1"/>
    <col min="9746" max="9985" width="9.140625" style="22"/>
    <col min="9986" max="9986" width="4.28515625" style="22" customWidth="1"/>
    <col min="9987" max="9987" width="8.85546875" style="22" customWidth="1"/>
    <col min="9988" max="9988" width="60.5703125" style="22" customWidth="1"/>
    <col min="9989" max="9989" width="5.85546875" style="22" customWidth="1"/>
    <col min="9990" max="9990" width="12.140625" style="22" customWidth="1"/>
    <col min="9991" max="9991" width="11.5703125" style="22" customWidth="1"/>
    <col min="9992" max="9992" width="10.28515625" style="22" bestFit="1" customWidth="1"/>
    <col min="9993" max="9993" width="12.140625" style="22" customWidth="1"/>
    <col min="9994" max="9994" width="10.7109375" style="22" customWidth="1"/>
    <col min="9995" max="9997" width="10.28515625" style="22" customWidth="1"/>
    <col min="9998" max="9998" width="9.5703125" style="22" customWidth="1"/>
    <col min="9999" max="9999" width="10.42578125" style="22" customWidth="1"/>
    <col min="10000" max="10000" width="9.140625" style="22"/>
    <col min="10001" max="10001" width="10.42578125" style="22" bestFit="1" customWidth="1"/>
    <col min="10002" max="10241" width="9.140625" style="22"/>
    <col min="10242" max="10242" width="4.28515625" style="22" customWidth="1"/>
    <col min="10243" max="10243" width="8.85546875" style="22" customWidth="1"/>
    <col min="10244" max="10244" width="60.5703125" style="22" customWidth="1"/>
    <col min="10245" max="10245" width="5.85546875" style="22" customWidth="1"/>
    <col min="10246" max="10246" width="12.140625" style="22" customWidth="1"/>
    <col min="10247" max="10247" width="11.5703125" style="22" customWidth="1"/>
    <col min="10248" max="10248" width="10.28515625" style="22" bestFit="1" customWidth="1"/>
    <col min="10249" max="10249" width="12.140625" style="22" customWidth="1"/>
    <col min="10250" max="10250" width="10.7109375" style="22" customWidth="1"/>
    <col min="10251" max="10253" width="10.28515625" style="22" customWidth="1"/>
    <col min="10254" max="10254" width="9.5703125" style="22" customWidth="1"/>
    <col min="10255" max="10255" width="10.42578125" style="22" customWidth="1"/>
    <col min="10256" max="10256" width="9.140625" style="22"/>
    <col min="10257" max="10257" width="10.42578125" style="22" bestFit="1" customWidth="1"/>
    <col min="10258" max="10497" width="9.140625" style="22"/>
    <col min="10498" max="10498" width="4.28515625" style="22" customWidth="1"/>
    <col min="10499" max="10499" width="8.85546875" style="22" customWidth="1"/>
    <col min="10500" max="10500" width="60.5703125" style="22" customWidth="1"/>
    <col min="10501" max="10501" width="5.85546875" style="22" customWidth="1"/>
    <col min="10502" max="10502" width="12.140625" style="22" customWidth="1"/>
    <col min="10503" max="10503" width="11.5703125" style="22" customWidth="1"/>
    <col min="10504" max="10504" width="10.28515625" style="22" bestFit="1" customWidth="1"/>
    <col min="10505" max="10505" width="12.140625" style="22" customWidth="1"/>
    <col min="10506" max="10506" width="10.7109375" style="22" customWidth="1"/>
    <col min="10507" max="10509" width="10.28515625" style="22" customWidth="1"/>
    <col min="10510" max="10510" width="9.5703125" style="22" customWidth="1"/>
    <col min="10511" max="10511" width="10.42578125" style="22" customWidth="1"/>
    <col min="10512" max="10512" width="9.140625" style="22"/>
    <col min="10513" max="10513" width="10.42578125" style="22" bestFit="1" customWidth="1"/>
    <col min="10514" max="10753" width="9.140625" style="22"/>
    <col min="10754" max="10754" width="4.28515625" style="22" customWidth="1"/>
    <col min="10755" max="10755" width="8.85546875" style="22" customWidth="1"/>
    <col min="10756" max="10756" width="60.5703125" style="22" customWidth="1"/>
    <col min="10757" max="10757" width="5.85546875" style="22" customWidth="1"/>
    <col min="10758" max="10758" width="12.140625" style="22" customWidth="1"/>
    <col min="10759" max="10759" width="11.5703125" style="22" customWidth="1"/>
    <col min="10760" max="10760" width="10.28515625" style="22" bestFit="1" customWidth="1"/>
    <col min="10761" max="10761" width="12.140625" style="22" customWidth="1"/>
    <col min="10762" max="10762" width="10.7109375" style="22" customWidth="1"/>
    <col min="10763" max="10765" width="10.28515625" style="22" customWidth="1"/>
    <col min="10766" max="10766" width="9.5703125" style="22" customWidth="1"/>
    <col min="10767" max="10767" width="10.42578125" style="22" customWidth="1"/>
    <col min="10768" max="10768" width="9.140625" style="22"/>
    <col min="10769" max="10769" width="10.42578125" style="22" bestFit="1" customWidth="1"/>
    <col min="10770" max="11009" width="9.140625" style="22"/>
    <col min="11010" max="11010" width="4.28515625" style="22" customWidth="1"/>
    <col min="11011" max="11011" width="8.85546875" style="22" customWidth="1"/>
    <col min="11012" max="11012" width="60.5703125" style="22" customWidth="1"/>
    <col min="11013" max="11013" width="5.85546875" style="22" customWidth="1"/>
    <col min="11014" max="11014" width="12.140625" style="22" customWidth="1"/>
    <col min="11015" max="11015" width="11.5703125" style="22" customWidth="1"/>
    <col min="11016" max="11016" width="10.28515625" style="22" bestFit="1" customWidth="1"/>
    <col min="11017" max="11017" width="12.140625" style="22" customWidth="1"/>
    <col min="11018" max="11018" width="10.7109375" style="22" customWidth="1"/>
    <col min="11019" max="11021" width="10.28515625" style="22" customWidth="1"/>
    <col min="11022" max="11022" width="9.5703125" style="22" customWidth="1"/>
    <col min="11023" max="11023" width="10.42578125" style="22" customWidth="1"/>
    <col min="11024" max="11024" width="9.140625" style="22"/>
    <col min="11025" max="11025" width="10.42578125" style="22" bestFit="1" customWidth="1"/>
    <col min="11026" max="11265" width="9.140625" style="22"/>
    <col min="11266" max="11266" width="4.28515625" style="22" customWidth="1"/>
    <col min="11267" max="11267" width="8.85546875" style="22" customWidth="1"/>
    <col min="11268" max="11268" width="60.5703125" style="22" customWidth="1"/>
    <col min="11269" max="11269" width="5.85546875" style="22" customWidth="1"/>
    <col min="11270" max="11270" width="12.140625" style="22" customWidth="1"/>
    <col min="11271" max="11271" width="11.5703125" style="22" customWidth="1"/>
    <col min="11272" max="11272" width="10.28515625" style="22" bestFit="1" customWidth="1"/>
    <col min="11273" max="11273" width="12.140625" style="22" customWidth="1"/>
    <col min="11274" max="11274" width="10.7109375" style="22" customWidth="1"/>
    <col min="11275" max="11277" width="10.28515625" style="22" customWidth="1"/>
    <col min="11278" max="11278" width="9.5703125" style="22" customWidth="1"/>
    <col min="11279" max="11279" width="10.42578125" style="22" customWidth="1"/>
    <col min="11280" max="11280" width="9.140625" style="22"/>
    <col min="11281" max="11281" width="10.42578125" style="22" bestFit="1" customWidth="1"/>
    <col min="11282" max="11521" width="9.140625" style="22"/>
    <col min="11522" max="11522" width="4.28515625" style="22" customWidth="1"/>
    <col min="11523" max="11523" width="8.85546875" style="22" customWidth="1"/>
    <col min="11524" max="11524" width="60.5703125" style="22" customWidth="1"/>
    <col min="11525" max="11525" width="5.85546875" style="22" customWidth="1"/>
    <col min="11526" max="11526" width="12.140625" style="22" customWidth="1"/>
    <col min="11527" max="11527" width="11.5703125" style="22" customWidth="1"/>
    <col min="11528" max="11528" width="10.28515625" style="22" bestFit="1" customWidth="1"/>
    <col min="11529" max="11529" width="12.140625" style="22" customWidth="1"/>
    <col min="11530" max="11530" width="10.7109375" style="22" customWidth="1"/>
    <col min="11531" max="11533" width="10.28515625" style="22" customWidth="1"/>
    <col min="11534" max="11534" width="9.5703125" style="22" customWidth="1"/>
    <col min="11535" max="11535" width="10.42578125" style="22" customWidth="1"/>
    <col min="11536" max="11536" width="9.140625" style="22"/>
    <col min="11537" max="11537" width="10.42578125" style="22" bestFit="1" customWidth="1"/>
    <col min="11538" max="11777" width="9.140625" style="22"/>
    <col min="11778" max="11778" width="4.28515625" style="22" customWidth="1"/>
    <col min="11779" max="11779" width="8.85546875" style="22" customWidth="1"/>
    <col min="11780" max="11780" width="60.5703125" style="22" customWidth="1"/>
    <col min="11781" max="11781" width="5.85546875" style="22" customWidth="1"/>
    <col min="11782" max="11782" width="12.140625" style="22" customWidth="1"/>
    <col min="11783" max="11783" width="11.5703125" style="22" customWidth="1"/>
    <col min="11784" max="11784" width="10.28515625" style="22" bestFit="1" customWidth="1"/>
    <col min="11785" max="11785" width="12.140625" style="22" customWidth="1"/>
    <col min="11786" max="11786" width="10.7109375" style="22" customWidth="1"/>
    <col min="11787" max="11789" width="10.28515625" style="22" customWidth="1"/>
    <col min="11790" max="11790" width="9.5703125" style="22" customWidth="1"/>
    <col min="11791" max="11791" width="10.42578125" style="22" customWidth="1"/>
    <col min="11792" max="11792" width="9.140625" style="22"/>
    <col min="11793" max="11793" width="10.42578125" style="22" bestFit="1" customWidth="1"/>
    <col min="11794" max="12033" width="9.140625" style="22"/>
    <col min="12034" max="12034" width="4.28515625" style="22" customWidth="1"/>
    <col min="12035" max="12035" width="8.85546875" style="22" customWidth="1"/>
    <col min="12036" max="12036" width="60.5703125" style="22" customWidth="1"/>
    <col min="12037" max="12037" width="5.85546875" style="22" customWidth="1"/>
    <col min="12038" max="12038" width="12.140625" style="22" customWidth="1"/>
    <col min="12039" max="12039" width="11.5703125" style="22" customWidth="1"/>
    <col min="12040" max="12040" width="10.28515625" style="22" bestFit="1" customWidth="1"/>
    <col min="12041" max="12041" width="12.140625" style="22" customWidth="1"/>
    <col min="12042" max="12042" width="10.7109375" style="22" customWidth="1"/>
    <col min="12043" max="12045" width="10.28515625" style="22" customWidth="1"/>
    <col min="12046" max="12046" width="9.5703125" style="22" customWidth="1"/>
    <col min="12047" max="12047" width="10.42578125" style="22" customWidth="1"/>
    <col min="12048" max="12048" width="9.140625" style="22"/>
    <col min="12049" max="12049" width="10.42578125" style="22" bestFit="1" customWidth="1"/>
    <col min="12050" max="12289" width="9.140625" style="22"/>
    <col min="12290" max="12290" width="4.28515625" style="22" customWidth="1"/>
    <col min="12291" max="12291" width="8.85546875" style="22" customWidth="1"/>
    <col min="12292" max="12292" width="60.5703125" style="22" customWidth="1"/>
    <col min="12293" max="12293" width="5.85546875" style="22" customWidth="1"/>
    <col min="12294" max="12294" width="12.140625" style="22" customWidth="1"/>
    <col min="12295" max="12295" width="11.5703125" style="22" customWidth="1"/>
    <col min="12296" max="12296" width="10.28515625" style="22" bestFit="1" customWidth="1"/>
    <col min="12297" max="12297" width="12.140625" style="22" customWidth="1"/>
    <col min="12298" max="12298" width="10.7109375" style="22" customWidth="1"/>
    <col min="12299" max="12301" width="10.28515625" style="22" customWidth="1"/>
    <col min="12302" max="12302" width="9.5703125" style="22" customWidth="1"/>
    <col min="12303" max="12303" width="10.42578125" style="22" customWidth="1"/>
    <col min="12304" max="12304" width="9.140625" style="22"/>
    <col min="12305" max="12305" width="10.42578125" style="22" bestFit="1" customWidth="1"/>
    <col min="12306" max="12545" width="9.140625" style="22"/>
    <col min="12546" max="12546" width="4.28515625" style="22" customWidth="1"/>
    <col min="12547" max="12547" width="8.85546875" style="22" customWidth="1"/>
    <col min="12548" max="12548" width="60.5703125" style="22" customWidth="1"/>
    <col min="12549" max="12549" width="5.85546875" style="22" customWidth="1"/>
    <col min="12550" max="12550" width="12.140625" style="22" customWidth="1"/>
    <col min="12551" max="12551" width="11.5703125" style="22" customWidth="1"/>
    <col min="12552" max="12552" width="10.28515625" style="22" bestFit="1" customWidth="1"/>
    <col min="12553" max="12553" width="12.140625" style="22" customWidth="1"/>
    <col min="12554" max="12554" width="10.7109375" style="22" customWidth="1"/>
    <col min="12555" max="12557" width="10.28515625" style="22" customWidth="1"/>
    <col min="12558" max="12558" width="9.5703125" style="22" customWidth="1"/>
    <col min="12559" max="12559" width="10.42578125" style="22" customWidth="1"/>
    <col min="12560" max="12560" width="9.140625" style="22"/>
    <col min="12561" max="12561" width="10.42578125" style="22" bestFit="1" customWidth="1"/>
    <col min="12562" max="12801" width="9.140625" style="22"/>
    <col min="12802" max="12802" width="4.28515625" style="22" customWidth="1"/>
    <col min="12803" max="12803" width="8.85546875" style="22" customWidth="1"/>
    <col min="12804" max="12804" width="60.5703125" style="22" customWidth="1"/>
    <col min="12805" max="12805" width="5.85546875" style="22" customWidth="1"/>
    <col min="12806" max="12806" width="12.140625" style="22" customWidth="1"/>
    <col min="12807" max="12807" width="11.5703125" style="22" customWidth="1"/>
    <col min="12808" max="12808" width="10.28515625" style="22" bestFit="1" customWidth="1"/>
    <col min="12809" max="12809" width="12.140625" style="22" customWidth="1"/>
    <col min="12810" max="12810" width="10.7109375" style="22" customWidth="1"/>
    <col min="12811" max="12813" width="10.28515625" style="22" customWidth="1"/>
    <col min="12814" max="12814" width="9.5703125" style="22" customWidth="1"/>
    <col min="12815" max="12815" width="10.42578125" style="22" customWidth="1"/>
    <col min="12816" max="12816" width="9.140625" style="22"/>
    <col min="12817" max="12817" width="10.42578125" style="22" bestFit="1" customWidth="1"/>
    <col min="12818" max="13057" width="9.140625" style="22"/>
    <col min="13058" max="13058" width="4.28515625" style="22" customWidth="1"/>
    <col min="13059" max="13059" width="8.85546875" style="22" customWidth="1"/>
    <col min="13060" max="13060" width="60.5703125" style="22" customWidth="1"/>
    <col min="13061" max="13061" width="5.85546875" style="22" customWidth="1"/>
    <col min="13062" max="13062" width="12.140625" style="22" customWidth="1"/>
    <col min="13063" max="13063" width="11.5703125" style="22" customWidth="1"/>
    <col min="13064" max="13064" width="10.28515625" style="22" bestFit="1" customWidth="1"/>
    <col min="13065" max="13065" width="12.140625" style="22" customWidth="1"/>
    <col min="13066" max="13066" width="10.7109375" style="22" customWidth="1"/>
    <col min="13067" max="13069" width="10.28515625" style="22" customWidth="1"/>
    <col min="13070" max="13070" width="9.5703125" style="22" customWidth="1"/>
    <col min="13071" max="13071" width="10.42578125" style="22" customWidth="1"/>
    <col min="13072" max="13072" width="9.140625" style="22"/>
    <col min="13073" max="13073" width="10.42578125" style="22" bestFit="1" customWidth="1"/>
    <col min="13074" max="13313" width="9.140625" style="22"/>
    <col min="13314" max="13314" width="4.28515625" style="22" customWidth="1"/>
    <col min="13315" max="13315" width="8.85546875" style="22" customWidth="1"/>
    <col min="13316" max="13316" width="60.5703125" style="22" customWidth="1"/>
    <col min="13317" max="13317" width="5.85546875" style="22" customWidth="1"/>
    <col min="13318" max="13318" width="12.140625" style="22" customWidth="1"/>
    <col min="13319" max="13319" width="11.5703125" style="22" customWidth="1"/>
    <col min="13320" max="13320" width="10.28515625" style="22" bestFit="1" customWidth="1"/>
    <col min="13321" max="13321" width="12.140625" style="22" customWidth="1"/>
    <col min="13322" max="13322" width="10.7109375" style="22" customWidth="1"/>
    <col min="13323" max="13325" width="10.28515625" style="22" customWidth="1"/>
    <col min="13326" max="13326" width="9.5703125" style="22" customWidth="1"/>
    <col min="13327" max="13327" width="10.42578125" style="22" customWidth="1"/>
    <col min="13328" max="13328" width="9.140625" style="22"/>
    <col min="13329" max="13329" width="10.42578125" style="22" bestFit="1" customWidth="1"/>
    <col min="13330" max="13569" width="9.140625" style="22"/>
    <col min="13570" max="13570" width="4.28515625" style="22" customWidth="1"/>
    <col min="13571" max="13571" width="8.85546875" style="22" customWidth="1"/>
    <col min="13572" max="13572" width="60.5703125" style="22" customWidth="1"/>
    <col min="13573" max="13573" width="5.85546875" style="22" customWidth="1"/>
    <col min="13574" max="13574" width="12.140625" style="22" customWidth="1"/>
    <col min="13575" max="13575" width="11.5703125" style="22" customWidth="1"/>
    <col min="13576" max="13576" width="10.28515625" style="22" bestFit="1" customWidth="1"/>
    <col min="13577" max="13577" width="12.140625" style="22" customWidth="1"/>
    <col min="13578" max="13578" width="10.7109375" style="22" customWidth="1"/>
    <col min="13579" max="13581" width="10.28515625" style="22" customWidth="1"/>
    <col min="13582" max="13582" width="9.5703125" style="22" customWidth="1"/>
    <col min="13583" max="13583" width="10.42578125" style="22" customWidth="1"/>
    <col min="13584" max="13584" width="9.140625" style="22"/>
    <col min="13585" max="13585" width="10.42578125" style="22" bestFit="1" customWidth="1"/>
    <col min="13586" max="13825" width="9.140625" style="22"/>
    <col min="13826" max="13826" width="4.28515625" style="22" customWidth="1"/>
    <col min="13827" max="13827" width="8.85546875" style="22" customWidth="1"/>
    <col min="13828" max="13828" width="60.5703125" style="22" customWidth="1"/>
    <col min="13829" max="13829" width="5.85546875" style="22" customWidth="1"/>
    <col min="13830" max="13830" width="12.140625" style="22" customWidth="1"/>
    <col min="13831" max="13831" width="11.5703125" style="22" customWidth="1"/>
    <col min="13832" max="13832" width="10.28515625" style="22" bestFit="1" customWidth="1"/>
    <col min="13833" max="13833" width="12.140625" style="22" customWidth="1"/>
    <col min="13834" max="13834" width="10.7109375" style="22" customWidth="1"/>
    <col min="13835" max="13837" width="10.28515625" style="22" customWidth="1"/>
    <col min="13838" max="13838" width="9.5703125" style="22" customWidth="1"/>
    <col min="13839" max="13839" width="10.42578125" style="22" customWidth="1"/>
    <col min="13840" max="13840" width="9.140625" style="22"/>
    <col min="13841" max="13841" width="10.42578125" style="22" bestFit="1" customWidth="1"/>
    <col min="13842" max="14081" width="9.140625" style="22"/>
    <col min="14082" max="14082" width="4.28515625" style="22" customWidth="1"/>
    <col min="14083" max="14083" width="8.85546875" style="22" customWidth="1"/>
    <col min="14084" max="14084" width="60.5703125" style="22" customWidth="1"/>
    <col min="14085" max="14085" width="5.85546875" style="22" customWidth="1"/>
    <col min="14086" max="14086" width="12.140625" style="22" customWidth="1"/>
    <col min="14087" max="14087" width="11.5703125" style="22" customWidth="1"/>
    <col min="14088" max="14088" width="10.28515625" style="22" bestFit="1" customWidth="1"/>
    <col min="14089" max="14089" width="12.140625" style="22" customWidth="1"/>
    <col min="14090" max="14090" width="10.7109375" style="22" customWidth="1"/>
    <col min="14091" max="14093" width="10.28515625" style="22" customWidth="1"/>
    <col min="14094" max="14094" width="9.5703125" style="22" customWidth="1"/>
    <col min="14095" max="14095" width="10.42578125" style="22" customWidth="1"/>
    <col min="14096" max="14096" width="9.140625" style="22"/>
    <col min="14097" max="14097" width="10.42578125" style="22" bestFit="1" customWidth="1"/>
    <col min="14098" max="14337" width="9.140625" style="22"/>
    <col min="14338" max="14338" width="4.28515625" style="22" customWidth="1"/>
    <col min="14339" max="14339" width="8.85546875" style="22" customWidth="1"/>
    <col min="14340" max="14340" width="60.5703125" style="22" customWidth="1"/>
    <col min="14341" max="14341" width="5.85546875" style="22" customWidth="1"/>
    <col min="14342" max="14342" width="12.140625" style="22" customWidth="1"/>
    <col min="14343" max="14343" width="11.5703125" style="22" customWidth="1"/>
    <col min="14344" max="14344" width="10.28515625" style="22" bestFit="1" customWidth="1"/>
    <col min="14345" max="14345" width="12.140625" style="22" customWidth="1"/>
    <col min="14346" max="14346" width="10.7109375" style="22" customWidth="1"/>
    <col min="14347" max="14349" width="10.28515625" style="22" customWidth="1"/>
    <col min="14350" max="14350" width="9.5703125" style="22" customWidth="1"/>
    <col min="14351" max="14351" width="10.42578125" style="22" customWidth="1"/>
    <col min="14352" max="14352" width="9.140625" style="22"/>
    <col min="14353" max="14353" width="10.42578125" style="22" bestFit="1" customWidth="1"/>
    <col min="14354" max="14593" width="9.140625" style="22"/>
    <col min="14594" max="14594" width="4.28515625" style="22" customWidth="1"/>
    <col min="14595" max="14595" width="8.85546875" style="22" customWidth="1"/>
    <col min="14596" max="14596" width="60.5703125" style="22" customWidth="1"/>
    <col min="14597" max="14597" width="5.85546875" style="22" customWidth="1"/>
    <col min="14598" max="14598" width="12.140625" style="22" customWidth="1"/>
    <col min="14599" max="14599" width="11.5703125" style="22" customWidth="1"/>
    <col min="14600" max="14600" width="10.28515625" style="22" bestFit="1" customWidth="1"/>
    <col min="14601" max="14601" width="12.140625" style="22" customWidth="1"/>
    <col min="14602" max="14602" width="10.7109375" style="22" customWidth="1"/>
    <col min="14603" max="14605" width="10.28515625" style="22" customWidth="1"/>
    <col min="14606" max="14606" width="9.5703125" style="22" customWidth="1"/>
    <col min="14607" max="14607" width="10.42578125" style="22" customWidth="1"/>
    <col min="14608" max="14608" width="9.140625" style="22"/>
    <col min="14609" max="14609" width="10.42578125" style="22" bestFit="1" customWidth="1"/>
    <col min="14610" max="14849" width="9.140625" style="22"/>
    <col min="14850" max="14850" width="4.28515625" style="22" customWidth="1"/>
    <col min="14851" max="14851" width="8.85546875" style="22" customWidth="1"/>
    <col min="14852" max="14852" width="60.5703125" style="22" customWidth="1"/>
    <col min="14853" max="14853" width="5.85546875" style="22" customWidth="1"/>
    <col min="14854" max="14854" width="12.140625" style="22" customWidth="1"/>
    <col min="14855" max="14855" width="11.5703125" style="22" customWidth="1"/>
    <col min="14856" max="14856" width="10.28515625" style="22" bestFit="1" customWidth="1"/>
    <col min="14857" max="14857" width="12.140625" style="22" customWidth="1"/>
    <col min="14858" max="14858" width="10.7109375" style="22" customWidth="1"/>
    <col min="14859" max="14861" width="10.28515625" style="22" customWidth="1"/>
    <col min="14862" max="14862" width="9.5703125" style="22" customWidth="1"/>
    <col min="14863" max="14863" width="10.42578125" style="22" customWidth="1"/>
    <col min="14864" max="14864" width="9.140625" style="22"/>
    <col min="14865" max="14865" width="10.42578125" style="22" bestFit="1" customWidth="1"/>
    <col min="14866" max="15105" width="9.140625" style="22"/>
    <col min="15106" max="15106" width="4.28515625" style="22" customWidth="1"/>
    <col min="15107" max="15107" width="8.85546875" style="22" customWidth="1"/>
    <col min="15108" max="15108" width="60.5703125" style="22" customWidth="1"/>
    <col min="15109" max="15109" width="5.85546875" style="22" customWidth="1"/>
    <col min="15110" max="15110" width="12.140625" style="22" customWidth="1"/>
    <col min="15111" max="15111" width="11.5703125" style="22" customWidth="1"/>
    <col min="15112" max="15112" width="10.28515625" style="22" bestFit="1" customWidth="1"/>
    <col min="15113" max="15113" width="12.140625" style="22" customWidth="1"/>
    <col min="15114" max="15114" width="10.7109375" style="22" customWidth="1"/>
    <col min="15115" max="15117" width="10.28515625" style="22" customWidth="1"/>
    <col min="15118" max="15118" width="9.5703125" style="22" customWidth="1"/>
    <col min="15119" max="15119" width="10.42578125" style="22" customWidth="1"/>
    <col min="15120" max="15120" width="9.140625" style="22"/>
    <col min="15121" max="15121" width="10.42578125" style="22" bestFit="1" customWidth="1"/>
    <col min="15122" max="15361" width="9.140625" style="22"/>
    <col min="15362" max="15362" width="4.28515625" style="22" customWidth="1"/>
    <col min="15363" max="15363" width="8.85546875" style="22" customWidth="1"/>
    <col min="15364" max="15364" width="60.5703125" style="22" customWidth="1"/>
    <col min="15365" max="15365" width="5.85546875" style="22" customWidth="1"/>
    <col min="15366" max="15366" width="12.140625" style="22" customWidth="1"/>
    <col min="15367" max="15367" width="11.5703125" style="22" customWidth="1"/>
    <col min="15368" max="15368" width="10.28515625" style="22" bestFit="1" customWidth="1"/>
    <col min="15369" max="15369" width="12.140625" style="22" customWidth="1"/>
    <col min="15370" max="15370" width="10.7109375" style="22" customWidth="1"/>
    <col min="15371" max="15373" width="10.28515625" style="22" customWidth="1"/>
    <col min="15374" max="15374" width="9.5703125" style="22" customWidth="1"/>
    <col min="15375" max="15375" width="10.42578125" style="22" customWidth="1"/>
    <col min="15376" max="15376" width="9.140625" style="22"/>
    <col min="15377" max="15377" width="10.42578125" style="22" bestFit="1" customWidth="1"/>
    <col min="15378" max="15617" width="9.140625" style="22"/>
    <col min="15618" max="15618" width="4.28515625" style="22" customWidth="1"/>
    <col min="15619" max="15619" width="8.85546875" style="22" customWidth="1"/>
    <col min="15620" max="15620" width="60.5703125" style="22" customWidth="1"/>
    <col min="15621" max="15621" width="5.85546875" style="22" customWidth="1"/>
    <col min="15622" max="15622" width="12.140625" style="22" customWidth="1"/>
    <col min="15623" max="15623" width="11.5703125" style="22" customWidth="1"/>
    <col min="15624" max="15624" width="10.28515625" style="22" bestFit="1" customWidth="1"/>
    <col min="15625" max="15625" width="12.140625" style="22" customWidth="1"/>
    <col min="15626" max="15626" width="10.7109375" style="22" customWidth="1"/>
    <col min="15627" max="15629" width="10.28515625" style="22" customWidth="1"/>
    <col min="15630" max="15630" width="9.5703125" style="22" customWidth="1"/>
    <col min="15631" max="15631" width="10.42578125" style="22" customWidth="1"/>
    <col min="15632" max="15632" width="9.140625" style="22"/>
    <col min="15633" max="15633" width="10.42578125" style="22" bestFit="1" customWidth="1"/>
    <col min="15634" max="15873" width="9.140625" style="22"/>
    <col min="15874" max="15874" width="4.28515625" style="22" customWidth="1"/>
    <col min="15875" max="15875" width="8.85546875" style="22" customWidth="1"/>
    <col min="15876" max="15876" width="60.5703125" style="22" customWidth="1"/>
    <col min="15877" max="15877" width="5.85546875" style="22" customWidth="1"/>
    <col min="15878" max="15878" width="12.140625" style="22" customWidth="1"/>
    <col min="15879" max="15879" width="11.5703125" style="22" customWidth="1"/>
    <col min="15880" max="15880" width="10.28515625" style="22" bestFit="1" customWidth="1"/>
    <col min="15881" max="15881" width="12.140625" style="22" customWidth="1"/>
    <col min="15882" max="15882" width="10.7109375" style="22" customWidth="1"/>
    <col min="15883" max="15885" width="10.28515625" style="22" customWidth="1"/>
    <col min="15886" max="15886" width="9.5703125" style="22" customWidth="1"/>
    <col min="15887" max="15887" width="10.42578125" style="22" customWidth="1"/>
    <col min="15888" max="15888" width="9.140625" style="22"/>
    <col min="15889" max="15889" width="10.42578125" style="22" bestFit="1" customWidth="1"/>
    <col min="15890" max="16129" width="9.140625" style="22"/>
    <col min="16130" max="16130" width="4.28515625" style="22" customWidth="1"/>
    <col min="16131" max="16131" width="8.85546875" style="22" customWidth="1"/>
    <col min="16132" max="16132" width="60.5703125" style="22" customWidth="1"/>
    <col min="16133" max="16133" width="5.85546875" style="22" customWidth="1"/>
    <col min="16134" max="16134" width="12.140625" style="22" customWidth="1"/>
    <col min="16135" max="16135" width="11.5703125" style="22" customWidth="1"/>
    <col min="16136" max="16136" width="10.28515625" style="22" bestFit="1" customWidth="1"/>
    <col min="16137" max="16137" width="12.140625" style="22" customWidth="1"/>
    <col min="16138" max="16138" width="10.7109375" style="22" customWidth="1"/>
    <col min="16139" max="16141" width="10.28515625" style="22" customWidth="1"/>
    <col min="16142" max="16142" width="9.5703125" style="22" customWidth="1"/>
    <col min="16143" max="16143" width="10.42578125" style="22" customWidth="1"/>
    <col min="16144" max="16144" width="9.140625" style="22"/>
    <col min="16145" max="16145" width="10.42578125" style="22" bestFit="1" customWidth="1"/>
    <col min="16146" max="16384" width="9.140625" style="22"/>
  </cols>
  <sheetData>
    <row r="1" spans="1:16">
      <c r="O1" s="21"/>
    </row>
    <row r="2" spans="1:16" ht="12" customHeight="1">
      <c r="A2" s="389" t="s">
        <v>219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</row>
    <row r="4" spans="1:16" ht="21.6" customHeight="1">
      <c r="A4" s="381" t="s">
        <v>0</v>
      </c>
      <c r="B4" s="381" t="s">
        <v>319</v>
      </c>
      <c r="C4" s="390" t="s">
        <v>320</v>
      </c>
      <c r="D4" s="390"/>
      <c r="E4" s="392" t="s">
        <v>173</v>
      </c>
      <c r="F4" s="392" t="s">
        <v>188</v>
      </c>
      <c r="G4" s="392" t="s">
        <v>187</v>
      </c>
      <c r="H4" s="392" t="s">
        <v>220</v>
      </c>
      <c r="I4" s="383" t="s">
        <v>221</v>
      </c>
      <c r="J4" s="384"/>
      <c r="K4" s="394"/>
      <c r="L4" s="383" t="s">
        <v>172</v>
      </c>
      <c r="M4" s="394"/>
      <c r="N4" s="383" t="s">
        <v>222</v>
      </c>
      <c r="O4" s="384"/>
      <c r="P4" s="38"/>
    </row>
    <row r="5" spans="1:16" ht="42.6" customHeight="1">
      <c r="A5" s="382"/>
      <c r="B5" s="382"/>
      <c r="C5" s="391"/>
      <c r="D5" s="391"/>
      <c r="E5" s="393"/>
      <c r="F5" s="393"/>
      <c r="G5" s="393"/>
      <c r="H5" s="393"/>
      <c r="I5" s="28" t="s">
        <v>223</v>
      </c>
      <c r="J5" s="211" t="s">
        <v>317</v>
      </c>
      <c r="K5" s="211" t="s">
        <v>316</v>
      </c>
      <c r="L5" s="28" t="s">
        <v>223</v>
      </c>
      <c r="M5" s="211" t="s">
        <v>224</v>
      </c>
      <c r="N5" s="28" t="s">
        <v>223</v>
      </c>
      <c r="O5" s="211" t="s">
        <v>224</v>
      </c>
      <c r="P5" s="38" t="s">
        <v>318</v>
      </c>
    </row>
    <row r="6" spans="1:16">
      <c r="A6" s="28">
        <v>1</v>
      </c>
      <c r="B6" s="28">
        <v>2</v>
      </c>
      <c r="C6" s="283">
        <v>3</v>
      </c>
      <c r="D6" s="283">
        <v>4</v>
      </c>
      <c r="E6" s="283">
        <v>5</v>
      </c>
      <c r="F6" s="283">
        <v>6</v>
      </c>
      <c r="G6" s="283">
        <v>7</v>
      </c>
      <c r="H6" s="283">
        <v>8</v>
      </c>
      <c r="I6" s="395">
        <v>5</v>
      </c>
      <c r="J6" s="396"/>
      <c r="K6" s="396"/>
      <c r="L6" s="385">
        <v>10</v>
      </c>
      <c r="M6" s="386"/>
      <c r="N6" s="387">
        <v>11</v>
      </c>
      <c r="O6" s="388"/>
      <c r="P6" s="284">
        <v>6</v>
      </c>
    </row>
    <row r="7" spans="1:16" ht="24.75" customHeight="1">
      <c r="A7" s="31">
        <v>1</v>
      </c>
      <c r="B7" s="32">
        <v>11111</v>
      </c>
      <c r="C7" s="33" t="s">
        <v>93</v>
      </c>
      <c r="D7" s="34">
        <v>90</v>
      </c>
      <c r="E7" s="151">
        <f>484634.77118+3880.7556</f>
        <v>488515.52677999996</v>
      </c>
      <c r="F7" s="151">
        <v>545088.6</v>
      </c>
      <c r="G7" s="151">
        <v>590708</v>
      </c>
      <c r="H7" s="36">
        <f>619839.13107+4592.63765</f>
        <v>624431.76872000005</v>
      </c>
      <c r="I7" s="37">
        <v>562429</v>
      </c>
      <c r="J7" s="37">
        <v>604829</v>
      </c>
      <c r="K7" s="37">
        <f>604829+8000</f>
        <v>612829</v>
      </c>
      <c r="L7" s="37">
        <v>628233.30000000005</v>
      </c>
      <c r="M7" s="37">
        <v>628233.30000000005</v>
      </c>
      <c r="N7" s="37">
        <v>711160.2</v>
      </c>
      <c r="O7" s="266">
        <v>711160.2</v>
      </c>
      <c r="P7" s="62">
        <f>K7-J7</f>
        <v>8000</v>
      </c>
    </row>
    <row r="8" spans="1:16">
      <c r="A8" s="31">
        <v>2</v>
      </c>
      <c r="B8" s="31">
        <v>11122100</v>
      </c>
      <c r="C8" s="39" t="s">
        <v>69</v>
      </c>
      <c r="D8" s="34">
        <v>100</v>
      </c>
      <c r="E8" s="151">
        <v>13.548</v>
      </c>
      <c r="F8" s="151"/>
      <c r="G8" s="151"/>
      <c r="H8" s="36">
        <v>-1.04</v>
      </c>
      <c r="I8" s="37"/>
      <c r="J8" s="37"/>
      <c r="K8" s="161"/>
      <c r="L8" s="37"/>
      <c r="M8" s="37"/>
      <c r="N8" s="38"/>
      <c r="O8" s="267"/>
      <c r="P8" s="62">
        <f t="shared" ref="P8:P65" si="0">K8-J8</f>
        <v>0</v>
      </c>
    </row>
    <row r="9" spans="1:16">
      <c r="A9" s="31">
        <v>3</v>
      </c>
      <c r="B9" s="31">
        <v>11122200</v>
      </c>
      <c r="C9" s="39" t="s">
        <v>70</v>
      </c>
      <c r="D9" s="34">
        <v>100</v>
      </c>
      <c r="E9" s="151">
        <v>0</v>
      </c>
      <c r="F9" s="151"/>
      <c r="G9" s="151"/>
      <c r="H9" s="36"/>
      <c r="I9" s="37"/>
      <c r="J9" s="37"/>
      <c r="K9" s="37"/>
      <c r="L9" s="37"/>
      <c r="M9" s="37"/>
      <c r="N9" s="38"/>
      <c r="O9" s="267"/>
      <c r="P9" s="62">
        <f t="shared" si="0"/>
        <v>0</v>
      </c>
    </row>
    <row r="10" spans="1:16">
      <c r="A10" s="31">
        <v>4</v>
      </c>
      <c r="B10" s="31">
        <v>11122300</v>
      </c>
      <c r="C10" s="39" t="s">
        <v>94</v>
      </c>
      <c r="D10" s="34">
        <v>100</v>
      </c>
      <c r="E10" s="151">
        <v>56591.808539999998</v>
      </c>
      <c r="F10" s="151">
        <v>76414.600000000006</v>
      </c>
      <c r="G10" s="151">
        <v>76414.600000000006</v>
      </c>
      <c r="H10" s="36">
        <v>28711.7781</v>
      </c>
      <c r="I10" s="37">
        <v>49500</v>
      </c>
      <c r="J10" s="37">
        <v>49500</v>
      </c>
      <c r="K10" s="37">
        <v>49500</v>
      </c>
      <c r="L10" s="37">
        <v>49500</v>
      </c>
      <c r="M10" s="37">
        <v>49500</v>
      </c>
      <c r="N10" s="37">
        <v>49500</v>
      </c>
      <c r="O10" s="266">
        <v>49500</v>
      </c>
      <c r="P10" s="62">
        <f t="shared" si="0"/>
        <v>0</v>
      </c>
    </row>
    <row r="11" spans="1:16" ht="25.5">
      <c r="A11" s="31">
        <v>5</v>
      </c>
      <c r="B11" s="31">
        <v>11125100</v>
      </c>
      <c r="C11" s="45" t="s">
        <v>225</v>
      </c>
      <c r="D11" s="34"/>
      <c r="E11" s="151">
        <v>0</v>
      </c>
      <c r="F11" s="151"/>
      <c r="G11" s="151"/>
      <c r="H11" s="36">
        <v>1.7103299999999999</v>
      </c>
      <c r="I11" s="37"/>
      <c r="J11" s="37"/>
      <c r="K11" s="37"/>
      <c r="P11" s="62">
        <f t="shared" si="0"/>
        <v>0</v>
      </c>
    </row>
    <row r="12" spans="1:16">
      <c r="A12" s="31">
        <v>6</v>
      </c>
      <c r="B12" s="32">
        <v>11462</v>
      </c>
      <c r="C12" s="39" t="s">
        <v>4</v>
      </c>
      <c r="D12" s="34">
        <v>50</v>
      </c>
      <c r="E12" s="151">
        <f>21.5+34.36865+1940.475</f>
        <v>1996.3436499999998</v>
      </c>
      <c r="F12" s="151">
        <v>2200</v>
      </c>
      <c r="G12" s="151">
        <v>2200</v>
      </c>
      <c r="H12" s="36">
        <f>136.1755+0.40869+58.3655-21.5+39.05895+2319.63241</f>
        <v>2532.1410500000002</v>
      </c>
      <c r="I12" s="151">
        <v>3330.4</v>
      </c>
      <c r="J12" s="36">
        <v>3330.4</v>
      </c>
      <c r="K12" s="36">
        <v>3330.4</v>
      </c>
      <c r="L12" s="151">
        <v>3490.3</v>
      </c>
      <c r="M12" s="151">
        <v>3490.3</v>
      </c>
      <c r="N12" s="151">
        <v>3863.7</v>
      </c>
      <c r="O12" s="268">
        <v>3863.7</v>
      </c>
      <c r="P12" s="62">
        <f t="shared" si="0"/>
        <v>0</v>
      </c>
    </row>
    <row r="13" spans="1:16" ht="12.75" customHeight="1">
      <c r="A13" s="31"/>
      <c r="B13" s="40"/>
      <c r="C13" s="41" t="s">
        <v>5</v>
      </c>
      <c r="D13" s="41"/>
      <c r="E13" s="156">
        <f t="shared" ref="E13:O13" si="1">SUM(E7:E12)</f>
        <v>547117.22697000008</v>
      </c>
      <c r="F13" s="156">
        <f t="shared" si="1"/>
        <v>623703.19999999995</v>
      </c>
      <c r="G13" s="156">
        <f t="shared" si="1"/>
        <v>669322.6</v>
      </c>
      <c r="H13" s="156">
        <f t="shared" si="1"/>
        <v>655676.35820000002</v>
      </c>
      <c r="I13" s="44">
        <f t="shared" si="1"/>
        <v>615259.4</v>
      </c>
      <c r="J13" s="44">
        <f t="shared" si="1"/>
        <v>657659.4</v>
      </c>
      <c r="K13" s="44">
        <f t="shared" si="1"/>
        <v>665659.4</v>
      </c>
      <c r="L13" s="44">
        <f t="shared" si="1"/>
        <v>681223.60000000009</v>
      </c>
      <c r="M13" s="44">
        <f t="shared" si="1"/>
        <v>681223.60000000009</v>
      </c>
      <c r="N13" s="44">
        <f t="shared" si="1"/>
        <v>764523.89999999991</v>
      </c>
      <c r="O13" s="269">
        <f t="shared" si="1"/>
        <v>764523.89999999991</v>
      </c>
      <c r="P13" s="56">
        <f t="shared" si="0"/>
        <v>8000</v>
      </c>
    </row>
    <row r="14" spans="1:16">
      <c r="A14" s="31">
        <v>7</v>
      </c>
      <c r="B14" s="31">
        <v>11311100</v>
      </c>
      <c r="C14" s="39" t="s">
        <v>95</v>
      </c>
      <c r="D14" s="34">
        <v>100</v>
      </c>
      <c r="E14" s="151">
        <v>4360.6565600000004</v>
      </c>
      <c r="F14" s="151">
        <v>4501.8</v>
      </c>
      <c r="G14" s="151">
        <v>12000</v>
      </c>
      <c r="H14" s="151">
        <v>17183.594349999999</v>
      </c>
      <c r="I14" s="37">
        <v>9500</v>
      </c>
      <c r="J14" s="37">
        <v>17200</v>
      </c>
      <c r="K14" s="161">
        <f>17200+500</f>
        <v>17700</v>
      </c>
      <c r="L14" s="37">
        <v>9500</v>
      </c>
      <c r="M14" s="37">
        <v>17200</v>
      </c>
      <c r="N14" s="37">
        <v>9500</v>
      </c>
      <c r="O14" s="266">
        <v>17200</v>
      </c>
      <c r="P14" s="62">
        <f t="shared" si="0"/>
        <v>500</v>
      </c>
    </row>
    <row r="15" spans="1:16">
      <c r="A15" s="31">
        <v>8</v>
      </c>
      <c r="B15" s="31">
        <v>11311200</v>
      </c>
      <c r="C15" s="39" t="s">
        <v>96</v>
      </c>
      <c r="D15" s="34">
        <v>100</v>
      </c>
      <c r="E15" s="151">
        <v>34993.996229999997</v>
      </c>
      <c r="F15" s="151">
        <v>39295.800000000003</v>
      </c>
      <c r="G15" s="151">
        <v>52990</v>
      </c>
      <c r="H15" s="151">
        <v>66110.572450000007</v>
      </c>
      <c r="I15" s="37">
        <v>46300</v>
      </c>
      <c r="J15" s="37">
        <v>66000</v>
      </c>
      <c r="K15" s="37">
        <v>66000</v>
      </c>
      <c r="L15" s="37">
        <v>46300</v>
      </c>
      <c r="M15" s="37">
        <v>66000</v>
      </c>
      <c r="N15" s="37">
        <v>46300</v>
      </c>
      <c r="O15" s="266">
        <v>66000</v>
      </c>
      <c r="P15" s="62">
        <f t="shared" si="0"/>
        <v>0</v>
      </c>
    </row>
    <row r="16" spans="1:16">
      <c r="A16" s="31">
        <v>9</v>
      </c>
      <c r="B16" s="31">
        <v>11311300</v>
      </c>
      <c r="C16" s="39" t="s">
        <v>71</v>
      </c>
      <c r="D16" s="34">
        <v>100</v>
      </c>
      <c r="E16" s="151">
        <v>198.02488</v>
      </c>
      <c r="F16" s="151">
        <v>0</v>
      </c>
      <c r="G16" s="151"/>
      <c r="H16" s="151">
        <v>51.890639999999998</v>
      </c>
      <c r="I16" s="37"/>
      <c r="J16" s="37"/>
      <c r="K16" s="37"/>
      <c r="L16" s="37"/>
      <c r="M16" s="37"/>
      <c r="N16" s="37"/>
      <c r="O16" s="266"/>
      <c r="P16" s="62">
        <f t="shared" si="0"/>
        <v>0</v>
      </c>
    </row>
    <row r="17" spans="1:17">
      <c r="A17" s="31">
        <v>10</v>
      </c>
      <c r="B17" s="32">
        <v>11312</v>
      </c>
      <c r="C17" s="39" t="s">
        <v>72</v>
      </c>
      <c r="D17" s="34">
        <v>100</v>
      </c>
      <c r="E17" s="151">
        <f>1713.92436+10830.81535</f>
        <v>12544.739710000002</v>
      </c>
      <c r="F17" s="151">
        <f>1787.8+14379.2</f>
        <v>16167</v>
      </c>
      <c r="G17" s="151">
        <f>1787.8+14379.2</f>
        <v>16167</v>
      </c>
      <c r="H17" s="151">
        <f>1934.90386+19556.53233</f>
        <v>21491.436189999997</v>
      </c>
      <c r="I17" s="37">
        <v>16300</v>
      </c>
      <c r="J17" s="37">
        <v>21000</v>
      </c>
      <c r="K17" s="161">
        <f>21000+4400+2000</f>
        <v>27400</v>
      </c>
      <c r="L17" s="37">
        <v>16300</v>
      </c>
      <c r="M17" s="37">
        <v>21000</v>
      </c>
      <c r="N17" s="37">
        <v>16300</v>
      </c>
      <c r="O17" s="266">
        <v>21000</v>
      </c>
      <c r="P17" s="62">
        <f t="shared" si="0"/>
        <v>6400</v>
      </c>
    </row>
    <row r="18" spans="1:17" ht="13.5" customHeight="1">
      <c r="A18" s="31">
        <v>11</v>
      </c>
      <c r="B18" s="31">
        <v>11321100</v>
      </c>
      <c r="C18" s="39" t="s">
        <v>97</v>
      </c>
      <c r="D18" s="34">
        <v>100</v>
      </c>
      <c r="E18" s="151">
        <v>8068.0703599999997</v>
      </c>
      <c r="F18" s="151">
        <v>10650</v>
      </c>
      <c r="G18" s="151">
        <v>13200</v>
      </c>
      <c r="H18" s="151">
        <v>11904.29384</v>
      </c>
      <c r="I18" s="37">
        <v>13250</v>
      </c>
      <c r="J18" s="37">
        <v>11900</v>
      </c>
      <c r="K18" s="161">
        <f>11900+100</f>
        <v>12000</v>
      </c>
      <c r="L18" s="37">
        <v>13250</v>
      </c>
      <c r="M18" s="37">
        <v>11900</v>
      </c>
      <c r="N18" s="37">
        <v>13250</v>
      </c>
      <c r="O18" s="266">
        <v>11900</v>
      </c>
      <c r="P18" s="62">
        <f t="shared" si="0"/>
        <v>100</v>
      </c>
    </row>
    <row r="19" spans="1:17">
      <c r="A19" s="31">
        <v>12</v>
      </c>
      <c r="B19" s="31">
        <v>11321200</v>
      </c>
      <c r="C19" s="39" t="s">
        <v>98</v>
      </c>
      <c r="D19" s="34">
        <v>100</v>
      </c>
      <c r="E19" s="151">
        <v>55.984099999999998</v>
      </c>
      <c r="F19" s="151">
        <v>0</v>
      </c>
      <c r="G19" s="151">
        <v>0</v>
      </c>
      <c r="H19" s="151">
        <v>82.077200000000005</v>
      </c>
      <c r="I19" s="37">
        <v>500</v>
      </c>
      <c r="J19" s="37">
        <v>500</v>
      </c>
      <c r="K19" s="37">
        <v>500</v>
      </c>
      <c r="L19" s="37">
        <v>500</v>
      </c>
      <c r="M19" s="37">
        <v>500</v>
      </c>
      <c r="N19" s="37">
        <v>500</v>
      </c>
      <c r="O19" s="266">
        <v>500</v>
      </c>
      <c r="P19" s="62">
        <f t="shared" si="0"/>
        <v>0</v>
      </c>
    </row>
    <row r="20" spans="1:17" ht="25.5">
      <c r="A20" s="31">
        <v>13</v>
      </c>
      <c r="B20" s="31">
        <v>11321300</v>
      </c>
      <c r="C20" s="45" t="s">
        <v>99</v>
      </c>
      <c r="D20" s="34">
        <v>100</v>
      </c>
      <c r="E20" s="151">
        <v>22250.634249999999</v>
      </c>
      <c r="F20" s="151">
        <v>29876.3</v>
      </c>
      <c r="G20" s="151">
        <v>34478.699999999997</v>
      </c>
      <c r="H20" s="151">
        <v>37493.500110000001</v>
      </c>
      <c r="I20" s="37">
        <v>31300</v>
      </c>
      <c r="J20" s="37">
        <v>37200</v>
      </c>
      <c r="K20" s="37">
        <v>37200</v>
      </c>
      <c r="L20" s="37">
        <v>31300</v>
      </c>
      <c r="M20" s="37">
        <v>37200</v>
      </c>
      <c r="N20" s="37">
        <v>31300</v>
      </c>
      <c r="O20" s="266">
        <v>37200</v>
      </c>
      <c r="P20" s="62">
        <f t="shared" si="0"/>
        <v>0</v>
      </c>
    </row>
    <row r="21" spans="1:17">
      <c r="A21" s="31">
        <v>14</v>
      </c>
      <c r="B21" s="31">
        <v>14224200</v>
      </c>
      <c r="C21" s="45" t="s">
        <v>73</v>
      </c>
      <c r="D21" s="34">
        <v>100</v>
      </c>
      <c r="E21" s="151">
        <v>1122.2946199999999</v>
      </c>
      <c r="F21" s="151">
        <v>1200</v>
      </c>
      <c r="G21" s="151">
        <v>1200</v>
      </c>
      <c r="H21" s="151">
        <v>1293.9566299999999</v>
      </c>
      <c r="I21" s="37">
        <v>1250</v>
      </c>
      <c r="J21" s="37">
        <v>1300</v>
      </c>
      <c r="K21" s="37">
        <v>1300</v>
      </c>
      <c r="L21" s="37">
        <v>1250</v>
      </c>
      <c r="M21" s="37">
        <v>1300</v>
      </c>
      <c r="N21" s="37">
        <v>1250</v>
      </c>
      <c r="O21" s="266">
        <v>1300</v>
      </c>
      <c r="P21" s="62">
        <f t="shared" si="0"/>
        <v>0</v>
      </c>
    </row>
    <row r="22" spans="1:17" ht="25.5">
      <c r="A22" s="31">
        <v>15</v>
      </c>
      <c r="B22" s="31">
        <v>14511400</v>
      </c>
      <c r="C22" s="212" t="s">
        <v>226</v>
      </c>
      <c r="D22" s="45"/>
      <c r="E22" s="36"/>
      <c r="F22" s="36"/>
      <c r="G22" s="36">
        <v>40</v>
      </c>
      <c r="H22" s="36">
        <v>84.718199999999996</v>
      </c>
      <c r="I22" s="37">
        <v>20</v>
      </c>
      <c r="J22" s="37">
        <v>70</v>
      </c>
      <c r="K22" s="37">
        <v>70</v>
      </c>
      <c r="L22" s="46">
        <v>20</v>
      </c>
      <c r="M22" s="37">
        <v>70</v>
      </c>
      <c r="N22" s="38">
        <v>20</v>
      </c>
      <c r="O22" s="266">
        <v>70</v>
      </c>
      <c r="P22" s="62">
        <f t="shared" si="0"/>
        <v>0</v>
      </c>
    </row>
    <row r="23" spans="1:17">
      <c r="A23" s="31">
        <v>16</v>
      </c>
      <c r="B23" s="39">
        <v>11611200</v>
      </c>
      <c r="C23" s="45" t="s">
        <v>100</v>
      </c>
      <c r="D23" s="45"/>
      <c r="E23" s="36">
        <v>6.0999999999999999E-2</v>
      </c>
      <c r="F23" s="36"/>
      <c r="G23" s="36"/>
      <c r="H23" s="36">
        <v>2.5999999999999999E-2</v>
      </c>
      <c r="I23" s="37"/>
      <c r="J23" s="37"/>
      <c r="K23" s="37"/>
      <c r="L23" s="46"/>
      <c r="M23" s="37"/>
      <c r="N23" s="38"/>
      <c r="O23" s="266"/>
      <c r="P23" s="62">
        <f t="shared" si="0"/>
        <v>0</v>
      </c>
    </row>
    <row r="24" spans="1:17" ht="13.5" customHeight="1">
      <c r="A24" s="31"/>
      <c r="B24" s="40"/>
      <c r="C24" s="41" t="s">
        <v>6</v>
      </c>
      <c r="D24" s="41"/>
      <c r="E24" s="42">
        <f>SUM(E14:E23)</f>
        <v>83594.461710000003</v>
      </c>
      <c r="F24" s="42">
        <f>SUM(F14:F22)</f>
        <v>101690.90000000001</v>
      </c>
      <c r="G24" s="42">
        <f>SUM(G14:G22)</f>
        <v>130075.7</v>
      </c>
      <c r="H24" s="42">
        <f>SUM(H14:H23)</f>
        <v>155696.06561000002</v>
      </c>
      <c r="I24" s="42">
        <f t="shared" ref="I24:O24" si="2">SUM(I14:I22)</f>
        <v>118420</v>
      </c>
      <c r="J24" s="42">
        <f t="shared" si="2"/>
        <v>155170</v>
      </c>
      <c r="K24" s="42">
        <f t="shared" si="2"/>
        <v>162170</v>
      </c>
      <c r="L24" s="42">
        <f t="shared" si="2"/>
        <v>118420</v>
      </c>
      <c r="M24" s="42">
        <f t="shared" si="2"/>
        <v>155170</v>
      </c>
      <c r="N24" s="42">
        <f t="shared" si="2"/>
        <v>118420</v>
      </c>
      <c r="O24" s="270">
        <f t="shared" si="2"/>
        <v>155170</v>
      </c>
      <c r="P24" s="56">
        <f t="shared" si="0"/>
        <v>7000</v>
      </c>
      <c r="Q24" s="23"/>
    </row>
    <row r="25" spans="1:17" ht="13.5" customHeight="1">
      <c r="A25" s="31"/>
      <c r="B25" s="31"/>
      <c r="C25" s="47" t="s">
        <v>7</v>
      </c>
      <c r="D25" s="47"/>
      <c r="E25" s="43">
        <f t="shared" ref="E25:O25" si="3">E24+E13</f>
        <v>630711.68868000014</v>
      </c>
      <c r="F25" s="43">
        <f t="shared" si="3"/>
        <v>725394.1</v>
      </c>
      <c r="G25" s="43">
        <f t="shared" si="3"/>
        <v>799398.29999999993</v>
      </c>
      <c r="H25" s="43">
        <f t="shared" si="3"/>
        <v>811372.42381000007</v>
      </c>
      <c r="I25" s="44">
        <f t="shared" si="3"/>
        <v>733679.4</v>
      </c>
      <c r="J25" s="44">
        <f t="shared" si="3"/>
        <v>812829.4</v>
      </c>
      <c r="K25" s="44">
        <f t="shared" si="3"/>
        <v>827829.4</v>
      </c>
      <c r="L25" s="44">
        <f t="shared" si="3"/>
        <v>799643.60000000009</v>
      </c>
      <c r="M25" s="44">
        <f t="shared" si="3"/>
        <v>836393.60000000009</v>
      </c>
      <c r="N25" s="44">
        <f t="shared" si="3"/>
        <v>882943.89999999991</v>
      </c>
      <c r="O25" s="269">
        <f t="shared" si="3"/>
        <v>919693.89999999991</v>
      </c>
      <c r="P25" s="56">
        <f t="shared" si="0"/>
        <v>15000</v>
      </c>
    </row>
    <row r="26" spans="1:17">
      <c r="A26" s="31">
        <v>17</v>
      </c>
      <c r="B26" s="31">
        <v>14152100</v>
      </c>
      <c r="C26" s="39" t="s">
        <v>74</v>
      </c>
      <c r="D26" s="34">
        <v>100</v>
      </c>
      <c r="E26" s="36">
        <f>SUM(E27:E30)</f>
        <v>36293.258499999996</v>
      </c>
      <c r="F26" s="36">
        <f>SUM(F27:F30)</f>
        <v>48015.1</v>
      </c>
      <c r="G26" s="36">
        <f t="shared" ref="G26:N26" si="4">SUM(G27:G30)</f>
        <v>48015.1</v>
      </c>
      <c r="H26" s="36">
        <f t="shared" si="4"/>
        <v>48137.441399999996</v>
      </c>
      <c r="I26" s="36">
        <f t="shared" si="4"/>
        <v>48300</v>
      </c>
      <c r="J26" s="36">
        <f>SUM(J27:J30)</f>
        <v>59516.860799999995</v>
      </c>
      <c r="K26" s="253">
        <f>SUM(K27:K30)</f>
        <v>59916.860799999995</v>
      </c>
      <c r="L26" s="36">
        <f t="shared" si="4"/>
        <v>48300</v>
      </c>
      <c r="M26" s="36">
        <f>SUM(M27:M30)</f>
        <v>59516.860799999995</v>
      </c>
      <c r="N26" s="36">
        <f t="shared" si="4"/>
        <v>48300</v>
      </c>
      <c r="O26" s="271">
        <f>SUM(O27:O30)</f>
        <v>59516.860799999995</v>
      </c>
      <c r="P26" s="62">
        <f t="shared" si="0"/>
        <v>400</v>
      </c>
      <c r="Q26" s="23"/>
    </row>
    <row r="27" spans="1:17">
      <c r="A27" s="31"/>
      <c r="B27" s="31"/>
      <c r="C27" s="48" t="s">
        <v>227</v>
      </c>
      <c r="D27" s="34">
        <v>100</v>
      </c>
      <c r="E27" s="50">
        <f>1642.567+1229.429+1238.021+2261.429+2176.2+1676.934+1872.094+1636.019+1347.714+1444.85+1426.2965+1158.09</f>
        <v>19109.643499999998</v>
      </c>
      <c r="F27" s="49">
        <v>23279</v>
      </c>
      <c r="G27" s="49">
        <v>23279</v>
      </c>
      <c r="H27" s="49">
        <f>1144.873+1574.38+1719.034+1728.257+2241.12+2257.05+2365.534+2112.928+2564.602+2500+2500+2500</f>
        <v>25207.777999999998</v>
      </c>
      <c r="I27" s="50">
        <v>23500</v>
      </c>
      <c r="J27" s="50">
        <v>29400</v>
      </c>
      <c r="K27" s="251">
        <f>29400+400</f>
        <v>29800</v>
      </c>
      <c r="L27" s="50">
        <v>23500</v>
      </c>
      <c r="M27" s="50">
        <v>29400</v>
      </c>
      <c r="N27" s="50">
        <v>23500</v>
      </c>
      <c r="O27" s="272">
        <v>29400</v>
      </c>
      <c r="P27" s="62">
        <f t="shared" si="0"/>
        <v>400</v>
      </c>
    </row>
    <row r="28" spans="1:17">
      <c r="A28" s="31"/>
      <c r="B28" s="31"/>
      <c r="C28" s="48" t="s">
        <v>228</v>
      </c>
      <c r="D28" s="34">
        <v>100</v>
      </c>
      <c r="E28" s="7">
        <f>704.509+818.158+635.269+729.546+760.089+692.614+811.816+712.859+724.949+688.085+697.104+869.872</f>
        <v>8844.869999999999</v>
      </c>
      <c r="F28" s="49">
        <f>7366+1435.4</f>
        <v>8801.4</v>
      </c>
      <c r="G28" s="49">
        <f>7366+1435.4</f>
        <v>8801.4</v>
      </c>
      <c r="H28" s="49">
        <f>716.745+737.891+771.011+719.676+773.59+792.188+748.9861+732.1913+1027.893+793.668+1034.663+1800+1800+1800</f>
        <v>14248.502399999999</v>
      </c>
      <c r="I28" s="50">
        <v>8806.3960000000006</v>
      </c>
      <c r="J28" s="50">
        <f>6465.516+1048.32</f>
        <v>7513.8359999999993</v>
      </c>
      <c r="K28" s="50">
        <f>6465.516+1048.32</f>
        <v>7513.8359999999993</v>
      </c>
      <c r="L28" s="50">
        <v>8806.3960000000006</v>
      </c>
      <c r="M28" s="50">
        <f>6465.516+1048.32</f>
        <v>7513.8359999999993</v>
      </c>
      <c r="N28" s="50">
        <v>8806.3960000000006</v>
      </c>
      <c r="O28" s="272">
        <f>6465.516+1048.32</f>
        <v>7513.8359999999993</v>
      </c>
      <c r="P28" s="62">
        <f t="shared" si="0"/>
        <v>0</v>
      </c>
    </row>
    <row r="29" spans="1:17">
      <c r="A29" s="31"/>
      <c r="B29" s="31"/>
      <c r="C29" s="48" t="s">
        <v>229</v>
      </c>
      <c r="D29" s="34">
        <v>100</v>
      </c>
      <c r="E29" s="7">
        <f>576.608+624.144+562.902+502.679+591.415+591.151+563.115+571.772+560.445+581.284+585.272+597.316</f>
        <v>6908.1029999999992</v>
      </c>
      <c r="F29" s="49">
        <v>6933.2</v>
      </c>
      <c r="G29" s="49">
        <v>6933.2</v>
      </c>
      <c r="H29" s="49">
        <f>570.864+586.804+594.144+567.484+592.124+567.849+591.089+569.593+580.55+207.746+200+500+250.799</f>
        <v>6379.0460000000003</v>
      </c>
      <c r="I29" s="50">
        <v>6958.0919999999996</v>
      </c>
      <c r="J29" s="50">
        <f>2157.96+6958.0896</f>
        <v>9116.0496000000003</v>
      </c>
      <c r="K29" s="50">
        <f>2157.96+6958.0896</f>
        <v>9116.0496000000003</v>
      </c>
      <c r="L29" s="50">
        <v>6958.0919999999996</v>
      </c>
      <c r="M29" s="50">
        <f>2157.96+6958.0896</f>
        <v>9116.0496000000003</v>
      </c>
      <c r="N29" s="50">
        <v>6958.0919999999996</v>
      </c>
      <c r="O29" s="272">
        <f>2157.96+6958.0896</f>
        <v>9116.0496000000003</v>
      </c>
      <c r="P29" s="62">
        <f t="shared" si="0"/>
        <v>0</v>
      </c>
    </row>
    <row r="30" spans="1:17">
      <c r="A30" s="31"/>
      <c r="B30" s="31"/>
      <c r="C30" s="48" t="s">
        <v>230</v>
      </c>
      <c r="D30" s="34"/>
      <c r="E30" s="50">
        <f>7.2+49.05+23.4+1.8+300.74+157.604+90.704+73.056+193.039+269.963+264.086</f>
        <v>1430.6420000000001</v>
      </c>
      <c r="F30" s="49">
        <v>9001.5</v>
      </c>
      <c r="G30" s="49">
        <v>9001.5</v>
      </c>
      <c r="H30" s="49">
        <f>430.688+250.23+233.95+105.47+160.35+152.67+237.952+218.085+364.11+48.61+100</f>
        <v>2302.1150000000002</v>
      </c>
      <c r="I30" s="50">
        <v>9035.5120000000006</v>
      </c>
      <c r="J30" s="50">
        <f>1435.356+4859.6652+7191.954</f>
        <v>13486.975200000001</v>
      </c>
      <c r="K30" s="50">
        <f>1435.356+4859.6652+7191.954</f>
        <v>13486.975200000001</v>
      </c>
      <c r="L30" s="50">
        <v>9035.5120000000006</v>
      </c>
      <c r="M30" s="50">
        <f>1435.356+4859.6652+7191.954</f>
        <v>13486.975200000001</v>
      </c>
      <c r="N30" s="50">
        <v>9035.5120000000006</v>
      </c>
      <c r="O30" s="272">
        <f>1435.356+4859.6652+7191.954</f>
        <v>13486.975200000001</v>
      </c>
      <c r="P30" s="62">
        <f t="shared" si="0"/>
        <v>0</v>
      </c>
    </row>
    <row r="31" spans="1:17">
      <c r="A31" s="31">
        <v>18</v>
      </c>
      <c r="B31" s="51">
        <v>14152200</v>
      </c>
      <c r="C31" s="52" t="s">
        <v>101</v>
      </c>
      <c r="D31" s="34"/>
      <c r="E31" s="257">
        <v>0</v>
      </c>
      <c r="F31" s="257">
        <f>83.3+353.1</f>
        <v>436.40000000000003</v>
      </c>
      <c r="G31" s="257">
        <f>83.3+353.1</f>
        <v>436.40000000000003</v>
      </c>
      <c r="H31" s="257">
        <v>52.295999999999999</v>
      </c>
      <c r="I31" s="258">
        <v>436.4</v>
      </c>
      <c r="J31" s="258">
        <v>600</v>
      </c>
      <c r="K31" s="258">
        <v>600</v>
      </c>
      <c r="L31" s="258">
        <v>436.4</v>
      </c>
      <c r="M31" s="258">
        <v>600</v>
      </c>
      <c r="N31" s="258">
        <v>436.4</v>
      </c>
      <c r="O31" s="273">
        <v>600</v>
      </c>
      <c r="P31" s="62">
        <f t="shared" si="0"/>
        <v>0</v>
      </c>
    </row>
    <row r="32" spans="1:17" ht="25.5">
      <c r="A32" s="31">
        <v>19</v>
      </c>
      <c r="B32" s="31">
        <v>14152600</v>
      </c>
      <c r="C32" s="45" t="s">
        <v>87</v>
      </c>
      <c r="D32" s="34">
        <v>100</v>
      </c>
      <c r="E32" s="36">
        <v>800.23599999999999</v>
      </c>
      <c r="F32" s="36">
        <v>2611.4</v>
      </c>
      <c r="G32" s="36">
        <v>2611.4</v>
      </c>
      <c r="H32" s="36">
        <v>4565.0940000000001</v>
      </c>
      <c r="I32" s="37">
        <v>2615.4</v>
      </c>
      <c r="J32" s="37">
        <v>5500</v>
      </c>
      <c r="K32" s="279">
        <f>5500+200</f>
        <v>5700</v>
      </c>
      <c r="L32" s="37">
        <v>2615.4</v>
      </c>
      <c r="M32" s="37">
        <v>5500</v>
      </c>
      <c r="N32" s="37">
        <v>2615.4</v>
      </c>
      <c r="O32" s="266">
        <v>5500</v>
      </c>
      <c r="P32" s="62">
        <f t="shared" si="0"/>
        <v>200</v>
      </c>
    </row>
    <row r="33" spans="1:16" ht="25.5">
      <c r="A33" s="31">
        <v>20</v>
      </c>
      <c r="B33" s="31">
        <v>14211200</v>
      </c>
      <c r="C33" s="45" t="s">
        <v>75</v>
      </c>
      <c r="D33" s="34">
        <v>100</v>
      </c>
      <c r="E33" s="36">
        <v>7222.2759999999998</v>
      </c>
      <c r="F33" s="36">
        <v>17047</v>
      </c>
      <c r="G33" s="36">
        <f>8047+2800</f>
        <v>10847</v>
      </c>
      <c r="H33" s="36">
        <v>11098.054099999999</v>
      </c>
      <c r="I33" s="37">
        <v>9123.6</v>
      </c>
      <c r="J33" s="161">
        <f>J34+J35</f>
        <v>17326.031999999999</v>
      </c>
      <c r="K33" s="258">
        <f>K34+K35</f>
        <v>17326.031999999999</v>
      </c>
      <c r="L33" s="37">
        <v>9123.6</v>
      </c>
      <c r="M33" s="37">
        <f>M34+M35</f>
        <v>17326.031999999999</v>
      </c>
      <c r="N33" s="37">
        <v>9123.6</v>
      </c>
      <c r="O33" s="266">
        <f>O34+O35</f>
        <v>17326.031999999999</v>
      </c>
      <c r="P33" s="62">
        <f t="shared" si="0"/>
        <v>0</v>
      </c>
    </row>
    <row r="34" spans="1:16">
      <c r="A34" s="31"/>
      <c r="B34" s="31"/>
      <c r="C34" s="45" t="s">
        <v>231</v>
      </c>
      <c r="D34" s="34"/>
      <c r="E34" s="36"/>
      <c r="F34" s="36"/>
      <c r="G34" s="36"/>
      <c r="H34" s="36"/>
      <c r="I34" s="37"/>
      <c r="J34" s="37">
        <v>0</v>
      </c>
      <c r="K34" s="37">
        <v>0</v>
      </c>
      <c r="L34" s="37"/>
      <c r="M34" s="37">
        <v>0</v>
      </c>
      <c r="N34" s="37"/>
      <c r="O34" s="266">
        <v>0</v>
      </c>
      <c r="P34" s="62">
        <f t="shared" si="0"/>
        <v>0</v>
      </c>
    </row>
    <row r="35" spans="1:16">
      <c r="A35" s="31"/>
      <c r="B35" s="31"/>
      <c r="C35" s="213" t="s">
        <v>228</v>
      </c>
      <c r="D35" s="214"/>
      <c r="E35" s="215"/>
      <c r="F35" s="215"/>
      <c r="G35" s="215"/>
      <c r="H35" s="215"/>
      <c r="I35" s="216"/>
      <c r="J35" s="216">
        <f>6918.84+4362.6+1076.592+600+360+1008+3000</f>
        <v>17326.031999999999</v>
      </c>
      <c r="K35" s="216">
        <f>6918.84+4362.6+1076.592+600+360+1008+3000</f>
        <v>17326.031999999999</v>
      </c>
      <c r="L35" s="216"/>
      <c r="M35" s="216">
        <f>6918.84+4362.6+1076.592+600+360+1008+3000</f>
        <v>17326.031999999999</v>
      </c>
      <c r="N35" s="216"/>
      <c r="O35" s="274">
        <f>6918.84+4362.6+1076.592+600+360+1008+3000</f>
        <v>17326.031999999999</v>
      </c>
      <c r="P35" s="62">
        <f t="shared" si="0"/>
        <v>0</v>
      </c>
    </row>
    <row r="36" spans="1:16">
      <c r="A36" s="31">
        <v>21</v>
      </c>
      <c r="B36" s="31">
        <v>14211900</v>
      </c>
      <c r="C36" s="45" t="s">
        <v>232</v>
      </c>
      <c r="D36" s="34"/>
      <c r="E36" s="36"/>
      <c r="F36" s="36"/>
      <c r="G36" s="36"/>
      <c r="H36" s="36">
        <v>162.65799999999999</v>
      </c>
      <c r="I36" s="37"/>
      <c r="J36" s="37"/>
      <c r="K36" s="254"/>
      <c r="L36" s="37"/>
      <c r="M36" s="37"/>
      <c r="N36" s="37"/>
      <c r="O36" s="266"/>
      <c r="P36" s="62">
        <f t="shared" si="0"/>
        <v>0</v>
      </c>
    </row>
    <row r="37" spans="1:16">
      <c r="A37" s="31">
        <v>22</v>
      </c>
      <c r="B37" s="31">
        <v>14224300</v>
      </c>
      <c r="C37" s="39" t="s">
        <v>76</v>
      </c>
      <c r="D37" s="34">
        <v>100</v>
      </c>
      <c r="E37" s="36">
        <v>13195.200919999999</v>
      </c>
      <c r="F37" s="36">
        <v>14310</v>
      </c>
      <c r="G37" s="36">
        <v>14310</v>
      </c>
      <c r="H37" s="36">
        <v>13943.658799999999</v>
      </c>
      <c r="I37" s="37">
        <v>14310</v>
      </c>
      <c r="J37" s="161">
        <f>J38+J39</f>
        <v>15744</v>
      </c>
      <c r="K37" s="258">
        <f>K38+K39</f>
        <v>16144</v>
      </c>
      <c r="L37" s="37">
        <v>14310</v>
      </c>
      <c r="M37" s="37">
        <f>M38+M39</f>
        <v>15744</v>
      </c>
      <c r="N37" s="37">
        <v>14310</v>
      </c>
      <c r="O37" s="266">
        <f>O38+O39</f>
        <v>15744</v>
      </c>
      <c r="P37" s="62">
        <f t="shared" si="0"/>
        <v>400</v>
      </c>
    </row>
    <row r="38" spans="1:16">
      <c r="A38" s="31"/>
      <c r="B38" s="31"/>
      <c r="C38" s="45" t="s">
        <v>231</v>
      </c>
      <c r="D38" s="34"/>
      <c r="E38" s="36"/>
      <c r="F38" s="36"/>
      <c r="G38" s="36"/>
      <c r="H38" s="36"/>
      <c r="I38" s="37"/>
      <c r="J38" s="37">
        <v>4500</v>
      </c>
      <c r="K38" s="161">
        <f>4500+400</f>
        <v>4900</v>
      </c>
      <c r="L38" s="37"/>
      <c r="M38" s="37">
        <v>4500</v>
      </c>
      <c r="N38" s="37"/>
      <c r="O38" s="266">
        <v>4500</v>
      </c>
      <c r="P38" s="62">
        <f t="shared" si="0"/>
        <v>400</v>
      </c>
    </row>
    <row r="39" spans="1:16">
      <c r="A39" s="31"/>
      <c r="B39" s="31"/>
      <c r="C39" s="213" t="s">
        <v>228</v>
      </c>
      <c r="D39" s="214"/>
      <c r="E39" s="215"/>
      <c r="F39" s="215"/>
      <c r="G39" s="215"/>
      <c r="H39" s="215"/>
      <c r="I39" s="216"/>
      <c r="J39" s="216">
        <f>240+11004</f>
        <v>11244</v>
      </c>
      <c r="K39" s="216">
        <f>240+11004</f>
        <v>11244</v>
      </c>
      <c r="L39" s="216"/>
      <c r="M39" s="216">
        <f>240+11004</f>
        <v>11244</v>
      </c>
      <c r="N39" s="216"/>
      <c r="O39" s="274">
        <f>240+11004</f>
        <v>11244</v>
      </c>
      <c r="P39" s="62">
        <f t="shared" si="0"/>
        <v>0</v>
      </c>
    </row>
    <row r="40" spans="1:16" ht="25.5">
      <c r="A40" s="31">
        <v>23</v>
      </c>
      <c r="B40" s="39">
        <v>14221900</v>
      </c>
      <c r="C40" s="213" t="s">
        <v>233</v>
      </c>
      <c r="D40" s="214">
        <v>100</v>
      </c>
      <c r="E40" s="215">
        <v>965.85</v>
      </c>
      <c r="F40" s="215">
        <v>6250.2</v>
      </c>
      <c r="G40" s="215">
        <v>13634.1</v>
      </c>
      <c r="H40" s="215">
        <v>12458.386</v>
      </c>
      <c r="I40" s="216">
        <v>14138.9</v>
      </c>
      <c r="J40" s="216">
        <f>2241.121+3000+9000</f>
        <v>14241.120999999999</v>
      </c>
      <c r="K40" s="251">
        <f>2241.121+3000+9000+2000</f>
        <v>16241.120999999999</v>
      </c>
      <c r="L40" s="216">
        <v>14138.9</v>
      </c>
      <c r="M40" s="216">
        <f>2241.121+3000+9000</f>
        <v>14241.120999999999</v>
      </c>
      <c r="N40" s="216">
        <v>14138.9</v>
      </c>
      <c r="O40" s="274">
        <f>2241.121+3000+9000</f>
        <v>14241.120999999999</v>
      </c>
      <c r="P40" s="62">
        <f t="shared" si="0"/>
        <v>2000</v>
      </c>
    </row>
    <row r="41" spans="1:16" ht="38.25">
      <c r="A41" s="31">
        <v>24</v>
      </c>
      <c r="B41" s="39">
        <v>14224410</v>
      </c>
      <c r="C41" s="45" t="s">
        <v>77</v>
      </c>
      <c r="D41" s="45">
        <v>100</v>
      </c>
      <c r="E41" s="151">
        <v>1850</v>
      </c>
      <c r="F41" s="151">
        <v>1041</v>
      </c>
      <c r="G41" s="151">
        <v>1041</v>
      </c>
      <c r="H41" s="151">
        <v>2480</v>
      </c>
      <c r="I41" s="37">
        <v>1850</v>
      </c>
      <c r="J41" s="37">
        <v>1850</v>
      </c>
      <c r="K41" s="37">
        <v>1850</v>
      </c>
      <c r="L41" s="46">
        <v>1850</v>
      </c>
      <c r="M41" s="37">
        <v>1850</v>
      </c>
      <c r="N41" s="38">
        <v>1850</v>
      </c>
      <c r="O41" s="266">
        <v>1850</v>
      </c>
      <c r="P41" s="62">
        <f t="shared" si="0"/>
        <v>0</v>
      </c>
    </row>
    <row r="42" spans="1:16" hidden="1">
      <c r="A42" s="31">
        <v>25</v>
      </c>
      <c r="B42" s="39">
        <v>14151200</v>
      </c>
      <c r="C42" s="52" t="s">
        <v>88</v>
      </c>
      <c r="D42" s="34"/>
      <c r="E42" s="151"/>
      <c r="F42" s="151">
        <v>95</v>
      </c>
      <c r="G42" s="151">
        <v>95</v>
      </c>
      <c r="H42" s="151">
        <v>346.01499999999999</v>
      </c>
      <c r="I42" s="37"/>
      <c r="J42" s="37"/>
      <c r="K42" s="37"/>
      <c r="L42" s="37"/>
      <c r="M42" s="37"/>
      <c r="N42" s="38"/>
      <c r="O42" s="266"/>
      <c r="P42" s="62">
        <f t="shared" si="0"/>
        <v>0</v>
      </c>
    </row>
    <row r="43" spans="1:16" hidden="1">
      <c r="A43" s="31">
        <v>26</v>
      </c>
      <c r="B43" s="51">
        <v>14311400</v>
      </c>
      <c r="C43" s="52" t="s">
        <v>78</v>
      </c>
      <c r="D43" s="45"/>
      <c r="E43" s="151">
        <v>55.5</v>
      </c>
      <c r="F43" s="151"/>
      <c r="G43" s="151"/>
      <c r="H43" s="151"/>
      <c r="I43" s="37"/>
      <c r="L43" s="46"/>
      <c r="N43" s="38"/>
      <c r="P43" s="62">
        <f t="shared" si="0"/>
        <v>0</v>
      </c>
    </row>
    <row r="44" spans="1:16" hidden="1">
      <c r="A44" s="31">
        <v>27</v>
      </c>
      <c r="B44" s="51">
        <v>14311500</v>
      </c>
      <c r="C44" s="52" t="s">
        <v>79</v>
      </c>
      <c r="D44" s="45"/>
      <c r="E44" s="151"/>
      <c r="F44" s="151"/>
      <c r="G44" s="151"/>
      <c r="H44" s="151"/>
      <c r="I44" s="37"/>
      <c r="J44" s="37"/>
      <c r="K44" s="37"/>
      <c r="L44" s="46"/>
      <c r="M44" s="37"/>
      <c r="N44" s="38"/>
      <c r="O44" s="266"/>
      <c r="P44" s="62">
        <f t="shared" si="0"/>
        <v>0</v>
      </c>
    </row>
    <row r="45" spans="1:16" hidden="1">
      <c r="A45" s="31">
        <v>28</v>
      </c>
      <c r="B45" s="51">
        <v>14511100</v>
      </c>
      <c r="C45" s="52" t="s">
        <v>68</v>
      </c>
      <c r="D45" s="45"/>
      <c r="E45" s="151">
        <v>2621.2420000000002</v>
      </c>
      <c r="F45" s="151"/>
      <c r="G45" s="151"/>
      <c r="H45" s="151">
        <v>1540.1107999999999</v>
      </c>
      <c r="I45" s="37"/>
      <c r="J45" s="37"/>
      <c r="K45" s="37"/>
      <c r="L45" s="46"/>
      <c r="M45" s="37"/>
      <c r="N45" s="38"/>
      <c r="O45" s="266"/>
      <c r="P45" s="62">
        <f t="shared" si="0"/>
        <v>0</v>
      </c>
    </row>
    <row r="46" spans="1:16" hidden="1">
      <c r="A46" s="31">
        <v>29</v>
      </c>
      <c r="B46" s="53">
        <v>14311410</v>
      </c>
      <c r="C46" s="54" t="s">
        <v>78</v>
      </c>
      <c r="D46" s="45"/>
      <c r="E46" s="151">
        <v>0</v>
      </c>
      <c r="F46" s="151"/>
      <c r="G46" s="151"/>
      <c r="H46" s="151">
        <v>36</v>
      </c>
      <c r="I46" s="37"/>
      <c r="J46" s="37"/>
      <c r="K46" s="37"/>
      <c r="L46" s="46"/>
      <c r="M46" s="37"/>
      <c r="N46" s="38"/>
      <c r="O46" s="266"/>
      <c r="P46" s="62">
        <f t="shared" si="0"/>
        <v>0</v>
      </c>
    </row>
    <row r="47" spans="1:16" hidden="1">
      <c r="A47" s="31">
        <v>30</v>
      </c>
      <c r="B47" s="259">
        <v>31121100</v>
      </c>
      <c r="C47" s="260" t="s">
        <v>80</v>
      </c>
      <c r="D47" s="45"/>
      <c r="E47" s="151"/>
      <c r="F47" s="151"/>
      <c r="G47" s="151"/>
      <c r="H47" s="151"/>
      <c r="I47" s="37"/>
      <c r="J47" s="37"/>
      <c r="K47" s="37"/>
      <c r="L47" s="46"/>
      <c r="M47" s="37"/>
      <c r="N47" s="38"/>
      <c r="O47" s="266"/>
      <c r="P47" s="62">
        <f t="shared" si="0"/>
        <v>0</v>
      </c>
    </row>
    <row r="48" spans="1:16">
      <c r="A48" s="31">
        <v>31</v>
      </c>
      <c r="B48" s="259">
        <v>31112120</v>
      </c>
      <c r="C48" s="260" t="s">
        <v>89</v>
      </c>
      <c r="D48" s="261"/>
      <c r="E48" s="151">
        <v>0</v>
      </c>
      <c r="F48" s="151"/>
      <c r="G48" s="151"/>
      <c r="H48" s="151"/>
      <c r="I48" s="37"/>
      <c r="J48" s="37"/>
      <c r="K48" s="161">
        <v>1570</v>
      </c>
      <c r="L48" s="46"/>
      <c r="M48" s="37"/>
      <c r="N48" s="38"/>
      <c r="O48" s="266"/>
      <c r="P48" s="62">
        <f t="shared" si="0"/>
        <v>1570</v>
      </c>
    </row>
    <row r="49" spans="1:16" hidden="1">
      <c r="A49" s="31">
        <v>32</v>
      </c>
      <c r="B49" s="31">
        <v>31112190</v>
      </c>
      <c r="C49" s="260" t="s">
        <v>90</v>
      </c>
      <c r="D49" s="261"/>
      <c r="E49" s="151"/>
      <c r="F49" s="151"/>
      <c r="G49" s="151">
        <f>1616.1+6392.4</f>
        <v>8008.5</v>
      </c>
      <c r="H49" s="151">
        <v>1780.951</v>
      </c>
      <c r="I49" s="37"/>
      <c r="J49" s="37"/>
      <c r="K49" s="37"/>
      <c r="L49" s="46"/>
      <c r="M49" s="37"/>
      <c r="N49" s="38"/>
      <c r="O49" s="266"/>
      <c r="P49" s="62">
        <f t="shared" si="0"/>
        <v>0</v>
      </c>
    </row>
    <row r="50" spans="1:16" hidden="1">
      <c r="A50" s="31">
        <v>33</v>
      </c>
      <c r="B50" s="51">
        <v>31121130</v>
      </c>
      <c r="C50" s="54" t="s">
        <v>81</v>
      </c>
      <c r="D50" s="45"/>
      <c r="E50" s="151">
        <v>0</v>
      </c>
      <c r="F50" s="151"/>
      <c r="G50" s="151"/>
      <c r="H50" s="151"/>
      <c r="I50" s="37"/>
      <c r="J50" s="37"/>
      <c r="K50" s="37"/>
      <c r="L50" s="46"/>
      <c r="M50" s="37"/>
      <c r="N50" s="38"/>
      <c r="O50" s="266"/>
      <c r="P50" s="62">
        <f t="shared" si="0"/>
        <v>0</v>
      </c>
    </row>
    <row r="51" spans="1:16" hidden="1">
      <c r="A51" s="31">
        <v>34</v>
      </c>
      <c r="B51" s="51">
        <v>31121190</v>
      </c>
      <c r="C51" s="52" t="s">
        <v>82</v>
      </c>
      <c r="D51" s="45"/>
      <c r="E51" s="151"/>
      <c r="F51" s="151"/>
      <c r="G51" s="151"/>
      <c r="H51" s="151"/>
      <c r="I51" s="37"/>
      <c r="J51" s="37"/>
      <c r="K51" s="37"/>
      <c r="L51" s="46"/>
      <c r="M51" s="37"/>
      <c r="N51" s="38"/>
      <c r="O51" s="266"/>
      <c r="P51" s="62">
        <f t="shared" si="0"/>
        <v>0</v>
      </c>
    </row>
    <row r="52" spans="1:16" ht="25.5">
      <c r="A52" s="31"/>
      <c r="B52" s="31"/>
      <c r="C52" s="55" t="s">
        <v>234</v>
      </c>
      <c r="D52" s="55"/>
      <c r="E52" s="56">
        <f t="shared" ref="E52:J52" si="5">SUM(E26:E51)-E26</f>
        <v>63003.56342000002</v>
      </c>
      <c r="F52" s="56">
        <f t="shared" si="5"/>
        <v>89806.099999999977</v>
      </c>
      <c r="G52" s="56">
        <f t="shared" si="5"/>
        <v>98998.499999999971</v>
      </c>
      <c r="H52" s="56">
        <f t="shared" si="5"/>
        <v>96600.665100000027</v>
      </c>
      <c r="I52" s="56">
        <f t="shared" si="5"/>
        <v>90774.300000000017</v>
      </c>
      <c r="J52" s="262">
        <f t="shared" si="5"/>
        <v>147848.04579999999</v>
      </c>
      <c r="K52" s="56">
        <f>SUM(K26:K51)-K26-K37-K33</f>
        <v>119348.01379999999</v>
      </c>
      <c r="L52" s="56">
        <f>SUM(L26:L51)-L26</f>
        <v>90774.300000000017</v>
      </c>
      <c r="M52" s="56">
        <f>SUM(M26:M51)-M26</f>
        <v>147848.04579999999</v>
      </c>
      <c r="N52" s="56">
        <f>SUM(N26:N51)-N26</f>
        <v>90774.300000000017</v>
      </c>
      <c r="O52" s="275">
        <f>SUM(O26:O51)-O26</f>
        <v>147848.04579999999</v>
      </c>
      <c r="P52" s="62">
        <f t="shared" si="0"/>
        <v>-28500.032000000007</v>
      </c>
    </row>
    <row r="53" spans="1:16">
      <c r="A53" s="31"/>
      <c r="B53" s="31"/>
      <c r="C53" s="57" t="s">
        <v>8</v>
      </c>
      <c r="D53" s="57"/>
      <c r="E53" s="157">
        <f t="shared" ref="E53:O53" si="6">E52+E25</f>
        <v>693715.25210000016</v>
      </c>
      <c r="F53" s="157">
        <f t="shared" si="6"/>
        <v>815200.2</v>
      </c>
      <c r="G53" s="157">
        <f t="shared" si="6"/>
        <v>898396.79999999993</v>
      </c>
      <c r="H53" s="157">
        <f t="shared" si="6"/>
        <v>907973.08891000005</v>
      </c>
      <c r="I53" s="59">
        <f t="shared" si="6"/>
        <v>824453.70000000007</v>
      </c>
      <c r="J53" s="59">
        <f t="shared" si="6"/>
        <v>960677.44579999999</v>
      </c>
      <c r="K53" s="59">
        <f t="shared" si="6"/>
        <v>947177.41379999998</v>
      </c>
      <c r="L53" s="59">
        <f t="shared" si="6"/>
        <v>890417.90000000014</v>
      </c>
      <c r="M53" s="59">
        <f t="shared" si="6"/>
        <v>984241.64580000006</v>
      </c>
      <c r="N53" s="58">
        <f t="shared" si="6"/>
        <v>973718.2</v>
      </c>
      <c r="O53" s="276">
        <f t="shared" si="6"/>
        <v>1067541.9457999999</v>
      </c>
      <c r="P53" s="62">
        <f t="shared" si="0"/>
        <v>-13500.032000000007</v>
      </c>
    </row>
    <row r="54" spans="1:16" ht="13.5">
      <c r="A54" s="31"/>
      <c r="B54" s="31"/>
      <c r="C54" s="60" t="s">
        <v>9</v>
      </c>
      <c r="D54" s="60"/>
      <c r="E54" s="153"/>
      <c r="F54" s="153"/>
      <c r="G54" s="153"/>
      <c r="H54" s="153"/>
      <c r="I54" s="35"/>
      <c r="J54" s="35"/>
      <c r="K54" s="35"/>
      <c r="L54" s="35"/>
      <c r="M54" s="35"/>
      <c r="N54" s="38"/>
      <c r="O54" s="277"/>
      <c r="P54" s="62">
        <f t="shared" si="0"/>
        <v>0</v>
      </c>
    </row>
    <row r="55" spans="1:16" ht="25.5">
      <c r="A55" s="31">
        <v>35</v>
      </c>
      <c r="B55" s="31">
        <v>14232400</v>
      </c>
      <c r="C55" s="45" t="s">
        <v>67</v>
      </c>
      <c r="D55" s="45"/>
      <c r="E55" s="153">
        <v>52230.764999999999</v>
      </c>
      <c r="F55" s="153">
        <v>65258</v>
      </c>
      <c r="G55" s="152">
        <f>65258+10000</f>
        <v>75258</v>
      </c>
      <c r="H55" s="153">
        <v>76362.425000000003</v>
      </c>
      <c r="I55" s="35">
        <v>73149.5</v>
      </c>
      <c r="J55" s="35">
        <v>132321.9</v>
      </c>
      <c r="K55" s="35">
        <f>132321.9+0.1</f>
        <v>132322</v>
      </c>
      <c r="L55" s="35">
        <v>73149.5</v>
      </c>
      <c r="M55" s="35">
        <v>132321.9</v>
      </c>
      <c r="N55" s="35">
        <v>73149.5</v>
      </c>
      <c r="O55" s="277">
        <v>132321.9</v>
      </c>
      <c r="P55" s="62">
        <f t="shared" si="0"/>
        <v>0.10000000000582077</v>
      </c>
    </row>
    <row r="56" spans="1:16" ht="25.5">
      <c r="A56" s="31">
        <v>36</v>
      </c>
      <c r="B56" s="31">
        <v>14232900</v>
      </c>
      <c r="C56" s="45" t="s">
        <v>91</v>
      </c>
      <c r="D56" s="45"/>
      <c r="E56" s="153">
        <v>1547.4069999999999</v>
      </c>
      <c r="F56" s="153">
        <v>2000</v>
      </c>
      <c r="G56" s="153">
        <v>2000</v>
      </c>
      <c r="H56" s="153">
        <v>1993.136</v>
      </c>
      <c r="I56" s="154">
        <v>2000</v>
      </c>
      <c r="J56" s="35">
        <v>2000</v>
      </c>
      <c r="K56" s="35">
        <v>2000</v>
      </c>
      <c r="L56" s="154">
        <v>2000</v>
      </c>
      <c r="M56" s="35">
        <v>2000</v>
      </c>
      <c r="N56" s="35">
        <v>2000</v>
      </c>
      <c r="O56" s="277">
        <v>2000</v>
      </c>
      <c r="P56" s="62">
        <f t="shared" si="0"/>
        <v>0</v>
      </c>
    </row>
    <row r="57" spans="1:16" ht="25.5" hidden="1">
      <c r="A57" s="31">
        <v>37</v>
      </c>
      <c r="B57" s="31">
        <v>14236900</v>
      </c>
      <c r="C57" s="45" t="s">
        <v>92</v>
      </c>
      <c r="D57" s="45"/>
      <c r="E57" s="153"/>
      <c r="F57" s="153"/>
      <c r="G57" s="153"/>
      <c r="H57" s="153">
        <v>0</v>
      </c>
      <c r="I57" s="154"/>
      <c r="J57" s="35"/>
      <c r="K57" s="35"/>
      <c r="L57" s="154"/>
      <c r="M57" s="35"/>
      <c r="N57" s="35"/>
      <c r="O57" s="277"/>
      <c r="P57" s="62">
        <f t="shared" si="0"/>
        <v>0</v>
      </c>
    </row>
    <row r="58" spans="1:16">
      <c r="A58" s="31">
        <v>38</v>
      </c>
      <c r="B58" s="31">
        <v>14238900</v>
      </c>
      <c r="C58" s="45" t="s">
        <v>62</v>
      </c>
      <c r="D58" s="45"/>
      <c r="E58" s="153">
        <v>71483.906000000003</v>
      </c>
      <c r="F58" s="153">
        <v>166989.20000000001</v>
      </c>
      <c r="G58" s="153">
        <f>166989.2-5052.5</f>
        <v>161936.70000000001</v>
      </c>
      <c r="H58" s="153">
        <v>100485.13400000001</v>
      </c>
      <c r="I58" s="154">
        <v>168767.1</v>
      </c>
      <c r="J58" s="35">
        <f>1580.9+347.2+100+90+84728.1+70+15288.4+12000</f>
        <v>114204.6</v>
      </c>
      <c r="K58" s="35">
        <f>1580.9+347.2+100+90+(84728.1-4582)+70+15288.4+12000+18100</f>
        <v>127722.6</v>
      </c>
      <c r="L58" s="154">
        <v>168767.1</v>
      </c>
      <c r="M58" s="35">
        <f>1580.9+347.2+100+90+84728.1+70+15288.4+12000</f>
        <v>114204.6</v>
      </c>
      <c r="N58" s="35">
        <v>168767.1</v>
      </c>
      <c r="O58" s="277">
        <f>1580.9+347.2+100+90+84728.1+70+15288.4+12000</f>
        <v>114204.6</v>
      </c>
      <c r="P58" s="62">
        <f t="shared" si="0"/>
        <v>13518</v>
      </c>
    </row>
    <row r="59" spans="1:16">
      <c r="A59" s="31">
        <v>39</v>
      </c>
      <c r="B59" s="31">
        <v>14411100</v>
      </c>
      <c r="C59" s="39" t="s">
        <v>63</v>
      </c>
      <c r="D59" s="39"/>
      <c r="E59" s="153">
        <v>455</v>
      </c>
      <c r="F59" s="153">
        <v>200</v>
      </c>
      <c r="G59" s="153">
        <v>700</v>
      </c>
      <c r="H59" s="153">
        <v>1085.95</v>
      </c>
      <c r="I59" s="154">
        <v>100</v>
      </c>
      <c r="J59" s="35">
        <f>100+100+100</f>
        <v>300</v>
      </c>
      <c r="K59" s="35">
        <f>100+100+100</f>
        <v>300</v>
      </c>
      <c r="L59" s="154">
        <v>100</v>
      </c>
      <c r="M59" s="35">
        <f>100+100+100</f>
        <v>300</v>
      </c>
      <c r="N59" s="35">
        <v>100</v>
      </c>
      <c r="O59" s="277">
        <f>100+100+100</f>
        <v>300</v>
      </c>
      <c r="P59" s="62">
        <f t="shared" si="0"/>
        <v>0</v>
      </c>
    </row>
    <row r="60" spans="1:16" hidden="1">
      <c r="A60" s="31">
        <v>40</v>
      </c>
      <c r="B60" s="31">
        <v>14412100</v>
      </c>
      <c r="C60" s="39" t="s">
        <v>235</v>
      </c>
      <c r="D60" s="39"/>
      <c r="E60" s="153"/>
      <c r="F60" s="153"/>
      <c r="G60" s="153"/>
      <c r="H60" s="153">
        <v>900000</v>
      </c>
      <c r="I60" s="154"/>
      <c r="J60" s="35"/>
      <c r="K60" s="35"/>
      <c r="L60" s="154"/>
      <c r="M60" s="35"/>
      <c r="N60" s="35"/>
      <c r="O60" s="277"/>
      <c r="P60" s="62">
        <f t="shared" si="0"/>
        <v>0</v>
      </c>
    </row>
    <row r="61" spans="1:16">
      <c r="A61" s="31"/>
      <c r="B61" s="38"/>
      <c r="C61" s="40" t="s">
        <v>64</v>
      </c>
      <c r="D61" s="40"/>
      <c r="E61" s="158">
        <f t="shared" ref="E61:L61" si="7">SUM(E55:E59)</f>
        <v>125717.07800000001</v>
      </c>
      <c r="F61" s="158">
        <f t="shared" si="7"/>
        <v>234447.2</v>
      </c>
      <c r="G61" s="158">
        <f t="shared" si="7"/>
        <v>239894.7</v>
      </c>
      <c r="H61" s="158">
        <f>SUM(H55:H59)</f>
        <v>179926.64500000002</v>
      </c>
      <c r="I61" s="56">
        <f t="shared" si="7"/>
        <v>244016.6</v>
      </c>
      <c r="J61" s="56">
        <f>SUM(J55:J59)</f>
        <v>248826.5</v>
      </c>
      <c r="K61" s="56">
        <f>SUM(K55:K59)</f>
        <v>262344.59999999998</v>
      </c>
      <c r="L61" s="56">
        <f t="shared" si="7"/>
        <v>244016.6</v>
      </c>
      <c r="M61" s="56">
        <f>SUM(M55:M59)</f>
        <v>248826.5</v>
      </c>
      <c r="N61" s="56">
        <f>SUM(N55:N59)</f>
        <v>244016.6</v>
      </c>
      <c r="O61" s="275">
        <f>SUM(O55:O59)</f>
        <v>248826.5</v>
      </c>
      <c r="P61" s="62">
        <f t="shared" si="0"/>
        <v>13518.099999999977</v>
      </c>
    </row>
    <row r="62" spans="1:16" hidden="1">
      <c r="A62" s="31">
        <v>41</v>
      </c>
      <c r="B62" s="38">
        <v>13321200</v>
      </c>
      <c r="C62" s="217" t="s">
        <v>102</v>
      </c>
      <c r="D62" s="61"/>
      <c r="E62" s="155">
        <v>1669224.6</v>
      </c>
      <c r="F62" s="38"/>
      <c r="G62" s="22"/>
      <c r="H62" s="155">
        <v>1056720.2290000001</v>
      </c>
      <c r="I62" s="62"/>
      <c r="J62" s="62"/>
      <c r="K62" s="62"/>
      <c r="L62" s="62"/>
      <c r="M62" s="62"/>
      <c r="N62" s="62"/>
      <c r="O62" s="278"/>
      <c r="P62" s="62">
        <f t="shared" si="0"/>
        <v>0</v>
      </c>
    </row>
    <row r="63" spans="1:16" hidden="1">
      <c r="A63" s="31">
        <v>42</v>
      </c>
      <c r="B63" s="38">
        <v>13321100</v>
      </c>
      <c r="C63" s="217" t="s">
        <v>236</v>
      </c>
      <c r="D63" s="61"/>
      <c r="E63" s="155"/>
      <c r="F63" s="155">
        <v>2201.8000000000002</v>
      </c>
      <c r="G63" s="155">
        <v>2201.8000000000002</v>
      </c>
      <c r="H63" s="155">
        <v>2201.83</v>
      </c>
      <c r="I63" s="62"/>
      <c r="J63" s="62"/>
      <c r="K63" s="62"/>
      <c r="L63" s="62"/>
      <c r="M63" s="62"/>
      <c r="N63" s="62"/>
      <c r="O63" s="278"/>
      <c r="P63" s="62">
        <f t="shared" si="0"/>
        <v>0</v>
      </c>
    </row>
    <row r="64" spans="1:16" ht="15" hidden="1">
      <c r="A64" s="31">
        <v>43</v>
      </c>
      <c r="B64" s="38">
        <v>13321300</v>
      </c>
      <c r="C64" s="218" t="s">
        <v>237</v>
      </c>
      <c r="D64" s="61"/>
      <c r="E64" s="155"/>
      <c r="F64" s="155"/>
      <c r="G64" s="155"/>
      <c r="H64" s="155">
        <v>18833.25604</v>
      </c>
      <c r="I64" s="62"/>
      <c r="J64" s="62"/>
      <c r="K64" s="62"/>
      <c r="L64" s="62"/>
      <c r="M64" s="62"/>
      <c r="N64" s="62"/>
      <c r="O64" s="278"/>
      <c r="P64" s="62">
        <f t="shared" si="0"/>
        <v>0</v>
      </c>
    </row>
    <row r="65" spans="1:17">
      <c r="A65" s="31"/>
      <c r="B65" s="38"/>
      <c r="C65" s="63" t="s">
        <v>65</v>
      </c>
      <c r="D65" s="63"/>
      <c r="E65" s="56">
        <f>E61+E53+E62+E63+E64</f>
        <v>2488656.9301000005</v>
      </c>
      <c r="F65" s="56">
        <f>F61+F53+F62+F63+F64</f>
        <v>1051849.2</v>
      </c>
      <c r="G65" s="56">
        <f>G61+G53+G62+G63+G64</f>
        <v>1140493.3</v>
      </c>
      <c r="H65" s="56">
        <f>H61+H53+H62+H63+H64+H60</f>
        <v>3065655.0489500002</v>
      </c>
      <c r="I65" s="56">
        <f t="shared" ref="I65:O65" si="8">I61+I53</f>
        <v>1068470.3</v>
      </c>
      <c r="J65" s="262">
        <f t="shared" si="8"/>
        <v>1209503.9457999999</v>
      </c>
      <c r="K65" s="285">
        <f>K61+K53</f>
        <v>1209522.0137999998</v>
      </c>
      <c r="L65" s="56">
        <f t="shared" si="8"/>
        <v>1134434.5000000002</v>
      </c>
      <c r="M65" s="56">
        <f t="shared" si="8"/>
        <v>1233068.1458000001</v>
      </c>
      <c r="N65" s="56">
        <f t="shared" si="8"/>
        <v>1217734.8</v>
      </c>
      <c r="O65" s="275">
        <f t="shared" si="8"/>
        <v>1316368.4457999999</v>
      </c>
      <c r="P65" s="62">
        <f t="shared" si="0"/>
        <v>18.067999999970198</v>
      </c>
      <c r="Q65" s="23"/>
    </row>
    <row r="68" spans="1:17" ht="15.75">
      <c r="B68" s="219"/>
      <c r="C68" s="220"/>
      <c r="E68" s="221"/>
      <c r="F68" s="221"/>
      <c r="G68" s="221"/>
      <c r="H68" s="221"/>
      <c r="J68" s="23"/>
      <c r="K68" s="23"/>
    </row>
    <row r="69" spans="1:17">
      <c r="E69" s="221"/>
      <c r="K69" s="23"/>
    </row>
    <row r="71" spans="1:17">
      <c r="K71" s="23"/>
    </row>
  </sheetData>
  <mergeCells count="15">
    <mergeCell ref="A4:A5"/>
    <mergeCell ref="N4:O4"/>
    <mergeCell ref="L6:M6"/>
    <mergeCell ref="N6:O6"/>
    <mergeCell ref="A2:M2"/>
    <mergeCell ref="C4:C5"/>
    <mergeCell ref="D4:D5"/>
    <mergeCell ref="E4:E5"/>
    <mergeCell ref="F4:F5"/>
    <mergeCell ref="G4:G5"/>
    <mergeCell ref="H4:H5"/>
    <mergeCell ref="L4:M4"/>
    <mergeCell ref="I4:K4"/>
    <mergeCell ref="I6:K6"/>
    <mergeCell ref="B4:B5"/>
  </mergeCells>
  <pageMargins left="0.70866141732283472" right="0.31496062992125984" top="0.35433070866141736" bottom="0.35433070866141736" header="0.31496062992125984" footer="0.31496062992125984"/>
  <pageSetup paperSize="9" scale="75" orientation="portrait" verticalDpi="0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C000"/>
    <pageSetUpPr fitToPage="1"/>
  </sheetPr>
  <dimension ref="A1:AB30"/>
  <sheetViews>
    <sheetView view="pageBreakPreview" zoomScaleNormal="100" zoomScaleSheetLayoutView="100" workbookViewId="0">
      <selection activeCell="V29" sqref="V29:W29"/>
    </sheetView>
  </sheetViews>
  <sheetFormatPr defaultColWidth="9.140625" defaultRowHeight="12.75"/>
  <cols>
    <col min="1" max="1" width="3.5703125" style="22" customWidth="1"/>
    <col min="2" max="2" width="24.28515625" style="22" customWidth="1"/>
    <col min="3" max="3" width="4.7109375" style="22" customWidth="1"/>
    <col min="4" max="4" width="7.5703125" style="22" customWidth="1"/>
    <col min="5" max="5" width="6.28515625" style="22" customWidth="1"/>
    <col min="6" max="6" width="9.5703125" style="22" bestFit="1" customWidth="1"/>
    <col min="7" max="7" width="5.28515625" style="22" customWidth="1"/>
    <col min="8" max="8" width="7.7109375" style="22" customWidth="1"/>
    <col min="9" max="9" width="7.140625" style="22" hidden="1" customWidth="1"/>
    <col min="10" max="10" width="4.85546875" style="22" hidden="1" customWidth="1"/>
    <col min="11" max="11" width="5.5703125" style="22" hidden="1" customWidth="1"/>
    <col min="12" max="12" width="3.28515625" style="22" hidden="1" customWidth="1"/>
    <col min="13" max="13" width="7.85546875" style="22" hidden="1" customWidth="1"/>
    <col min="14" max="14" width="6" style="22" customWidth="1"/>
    <col min="15" max="15" width="8.140625" style="22" customWidth="1"/>
    <col min="16" max="16" width="4.5703125" style="22" customWidth="1"/>
    <col min="17" max="17" width="6.7109375" style="22" customWidth="1"/>
    <col min="18" max="22" width="8.140625" style="22" customWidth="1"/>
    <col min="23" max="16384" width="9.140625" style="22"/>
  </cols>
  <sheetData>
    <row r="1" spans="1:25" s="5" customFormat="1" ht="66" customHeight="1">
      <c r="Q1" s="4"/>
      <c r="V1" s="4"/>
      <c r="X1" s="399" t="s">
        <v>532</v>
      </c>
      <c r="Y1" s="399"/>
    </row>
    <row r="2" spans="1:25" s="5" customFormat="1" ht="12.75" customHeight="1">
      <c r="Q2" s="4"/>
      <c r="V2" s="4"/>
      <c r="Y2" s="1"/>
    </row>
    <row r="3" spans="1:25" s="5" customFormat="1">
      <c r="A3" s="442" t="s">
        <v>55</v>
      </c>
      <c r="B3" s="442"/>
      <c r="C3" s="442"/>
      <c r="D3" s="442"/>
      <c r="E3" s="442"/>
      <c r="F3" s="442"/>
      <c r="G3" s="442"/>
      <c r="H3" s="442"/>
      <c r="I3" s="442"/>
      <c r="J3" s="442"/>
      <c r="K3" s="442"/>
      <c r="L3" s="442"/>
      <c r="M3" s="442"/>
      <c r="N3" s="442"/>
      <c r="O3" s="442"/>
      <c r="P3" s="442"/>
      <c r="Q3" s="442"/>
      <c r="R3" s="442"/>
      <c r="S3" s="442"/>
      <c r="T3" s="442"/>
      <c r="U3" s="442"/>
      <c r="V3" s="442"/>
      <c r="W3" s="442"/>
      <c r="X3" s="442"/>
      <c r="Y3" s="442"/>
    </row>
    <row r="4" spans="1:25" ht="27.75" customHeight="1"/>
    <row r="5" spans="1:25">
      <c r="A5" s="441" t="s">
        <v>0</v>
      </c>
      <c r="B5" s="441" t="s">
        <v>20</v>
      </c>
      <c r="C5" s="441" t="s">
        <v>21</v>
      </c>
      <c r="D5" s="441" t="s">
        <v>22</v>
      </c>
      <c r="E5" s="441" t="s">
        <v>103</v>
      </c>
      <c r="F5" s="443" t="s">
        <v>23</v>
      </c>
      <c r="G5" s="434" t="s">
        <v>104</v>
      </c>
      <c r="H5" s="435"/>
      <c r="I5" s="435"/>
      <c r="J5" s="435"/>
      <c r="K5" s="435"/>
      <c r="L5" s="435"/>
      <c r="M5" s="435"/>
      <c r="N5" s="435"/>
      <c r="O5" s="435"/>
      <c r="P5" s="435"/>
      <c r="Q5" s="436"/>
      <c r="R5" s="441" t="s">
        <v>28</v>
      </c>
      <c r="S5" s="441" t="s">
        <v>166</v>
      </c>
      <c r="T5" s="441" t="s">
        <v>105</v>
      </c>
      <c r="U5" s="441" t="s">
        <v>106</v>
      </c>
      <c r="V5" s="441" t="s">
        <v>108</v>
      </c>
      <c r="W5" s="437" t="s">
        <v>110</v>
      </c>
      <c r="X5" s="437" t="s">
        <v>111</v>
      </c>
      <c r="Y5" s="437" t="s">
        <v>112</v>
      </c>
    </row>
    <row r="6" spans="1:25" ht="91.9" customHeight="1">
      <c r="A6" s="441"/>
      <c r="B6" s="441"/>
      <c r="C6" s="441"/>
      <c r="D6" s="441"/>
      <c r="E6" s="441"/>
      <c r="F6" s="443"/>
      <c r="G6" s="441" t="s">
        <v>85</v>
      </c>
      <c r="H6" s="441"/>
      <c r="I6" s="127" t="s">
        <v>25</v>
      </c>
      <c r="J6" s="441" t="s">
        <v>24</v>
      </c>
      <c r="K6" s="441"/>
      <c r="L6" s="444" t="s">
        <v>134</v>
      </c>
      <c r="M6" s="445"/>
      <c r="N6" s="441" t="s">
        <v>26</v>
      </c>
      <c r="O6" s="441"/>
      <c r="P6" s="439" t="s">
        <v>115</v>
      </c>
      <c r="Q6" s="440"/>
      <c r="R6" s="441"/>
      <c r="S6" s="441"/>
      <c r="T6" s="441"/>
      <c r="U6" s="441"/>
      <c r="V6" s="441"/>
      <c r="W6" s="438"/>
      <c r="X6" s="438"/>
      <c r="Y6" s="438"/>
    </row>
    <row r="7" spans="1:25" ht="25.5">
      <c r="A7" s="441"/>
      <c r="B7" s="441"/>
      <c r="C7" s="441"/>
      <c r="D7" s="441"/>
      <c r="E7" s="441"/>
      <c r="F7" s="443"/>
      <c r="G7" s="125" t="s">
        <v>3</v>
      </c>
      <c r="H7" s="125" t="s">
        <v>29</v>
      </c>
      <c r="I7" s="125" t="s">
        <v>29</v>
      </c>
      <c r="J7" s="125" t="s">
        <v>3</v>
      </c>
      <c r="K7" s="125" t="s">
        <v>29</v>
      </c>
      <c r="L7" s="125" t="s">
        <v>3</v>
      </c>
      <c r="M7" s="125" t="s">
        <v>29</v>
      </c>
      <c r="N7" s="125" t="s">
        <v>3</v>
      </c>
      <c r="O7" s="125" t="s">
        <v>29</v>
      </c>
      <c r="P7" s="125" t="s">
        <v>3</v>
      </c>
      <c r="Q7" s="125" t="s">
        <v>29</v>
      </c>
      <c r="R7" s="125" t="s">
        <v>29</v>
      </c>
      <c r="S7" s="125" t="s">
        <v>29</v>
      </c>
      <c r="T7" s="125" t="s">
        <v>29</v>
      </c>
      <c r="U7" s="125" t="s">
        <v>29</v>
      </c>
      <c r="V7" s="125" t="s">
        <v>29</v>
      </c>
      <c r="W7" s="125" t="s">
        <v>29</v>
      </c>
      <c r="X7" s="125" t="s">
        <v>29</v>
      </c>
      <c r="Y7" s="125" t="s">
        <v>29</v>
      </c>
    </row>
    <row r="8" spans="1:25">
      <c r="A8" s="125">
        <v>1</v>
      </c>
      <c r="B8" s="125">
        <v>2</v>
      </c>
      <c r="C8" s="125">
        <v>3</v>
      </c>
      <c r="D8" s="125">
        <v>4</v>
      </c>
      <c r="E8" s="125">
        <v>5</v>
      </c>
      <c r="F8" s="125">
        <v>6</v>
      </c>
      <c r="G8" s="125">
        <v>7</v>
      </c>
      <c r="H8" s="125">
        <v>8</v>
      </c>
      <c r="I8" s="125">
        <v>9</v>
      </c>
      <c r="J8" s="125">
        <v>10</v>
      </c>
      <c r="K8" s="125">
        <v>11</v>
      </c>
      <c r="L8" s="125">
        <v>12</v>
      </c>
      <c r="M8" s="125">
        <v>13</v>
      </c>
      <c r="N8" s="125">
        <v>14</v>
      </c>
      <c r="O8" s="125">
        <v>15</v>
      </c>
      <c r="P8" s="125">
        <v>16</v>
      </c>
      <c r="Q8" s="125">
        <v>17</v>
      </c>
      <c r="R8" s="125">
        <v>18</v>
      </c>
      <c r="S8" s="125">
        <v>19</v>
      </c>
      <c r="T8" s="125">
        <v>20</v>
      </c>
      <c r="U8" s="125">
        <v>21</v>
      </c>
      <c r="V8" s="125">
        <v>22</v>
      </c>
      <c r="W8" s="125">
        <v>23</v>
      </c>
      <c r="X8" s="125">
        <v>24</v>
      </c>
      <c r="Y8" s="125">
        <v>25</v>
      </c>
    </row>
    <row r="9" spans="1:25">
      <c r="A9" s="434" t="s">
        <v>354</v>
      </c>
      <c r="B9" s="435"/>
      <c r="C9" s="435"/>
      <c r="D9" s="435"/>
      <c r="E9" s="435"/>
      <c r="F9" s="435"/>
      <c r="G9" s="435"/>
      <c r="H9" s="435"/>
      <c r="I9" s="435"/>
      <c r="J9" s="435"/>
      <c r="K9" s="435"/>
      <c r="L9" s="435"/>
      <c r="M9" s="435"/>
      <c r="N9" s="435"/>
      <c r="O9" s="435"/>
      <c r="P9" s="435"/>
      <c r="Q9" s="435"/>
      <c r="R9" s="435"/>
      <c r="S9" s="435"/>
      <c r="T9" s="435"/>
      <c r="U9" s="435"/>
      <c r="V9" s="435"/>
      <c r="W9" s="435"/>
      <c r="X9" s="435"/>
      <c r="Y9" s="436"/>
    </row>
    <row r="10" spans="1:25">
      <c r="A10" s="78">
        <v>1</v>
      </c>
      <c r="B10" s="107" t="s">
        <v>56</v>
      </c>
      <c r="C10" s="99">
        <v>1</v>
      </c>
      <c r="D10" s="99">
        <v>7040</v>
      </c>
      <c r="E10" s="98">
        <v>1</v>
      </c>
      <c r="F10" s="124">
        <f t="shared" ref="F10:F15" si="0">+D10*E10</f>
        <v>7040</v>
      </c>
      <c r="G10" s="69"/>
      <c r="H10" s="80"/>
      <c r="I10" s="70"/>
      <c r="J10" s="69"/>
      <c r="K10" s="80"/>
      <c r="L10" s="69"/>
      <c r="M10" s="80"/>
      <c r="N10" s="80"/>
      <c r="O10" s="80">
        <v>6300</v>
      </c>
      <c r="P10" s="69"/>
      <c r="Q10" s="80">
        <f t="shared" ref="Q10:Q15" si="1">F10*P10</f>
        <v>0</v>
      </c>
      <c r="R10" s="80">
        <f t="shared" ref="R10:R15" si="2">SUM(F10+H10+M10+O10+Q10)</f>
        <v>13340</v>
      </c>
      <c r="S10" s="80">
        <f t="shared" ref="S10:S16" si="3">R10*C10</f>
        <v>13340</v>
      </c>
      <c r="T10" s="85"/>
      <c r="U10" s="80"/>
      <c r="V10" s="85">
        <f t="shared" ref="V10:V16" si="4">(S10*14.0135)/12</f>
        <v>15578.340833333334</v>
      </c>
      <c r="W10" s="85">
        <f>(S10*8)+T10+U10+V10</f>
        <v>122298.34083333334</v>
      </c>
      <c r="X10" s="85">
        <f>((S10*8)+T10+V10)*0.1725</f>
        <v>21096.463793749997</v>
      </c>
      <c r="Y10" s="85">
        <f t="shared" ref="Y10:Y16" si="5">W10+X10</f>
        <v>143394.80462708333</v>
      </c>
    </row>
    <row r="11" spans="1:25">
      <c r="A11" s="78">
        <v>2</v>
      </c>
      <c r="B11" s="107" t="s">
        <v>32</v>
      </c>
      <c r="C11" s="104">
        <v>0.5</v>
      </c>
      <c r="D11" s="99">
        <v>7040</v>
      </c>
      <c r="E11" s="98">
        <v>1.1399999999999999</v>
      </c>
      <c r="F11" s="124">
        <f>+D11*E11</f>
        <v>8025.5999999999995</v>
      </c>
      <c r="G11" s="69"/>
      <c r="H11" s="80"/>
      <c r="I11" s="70"/>
      <c r="J11" s="70"/>
      <c r="K11" s="70"/>
      <c r="L11" s="69"/>
      <c r="M11" s="80"/>
      <c r="N11" s="80"/>
      <c r="O11" s="80">
        <v>2000</v>
      </c>
      <c r="P11" s="69"/>
      <c r="Q11" s="80">
        <f t="shared" si="1"/>
        <v>0</v>
      </c>
      <c r="R11" s="80">
        <f t="shared" si="2"/>
        <v>10025.599999999999</v>
      </c>
      <c r="S11" s="80">
        <f t="shared" si="3"/>
        <v>5012.7999999999993</v>
      </c>
      <c r="T11" s="85"/>
      <c r="U11" s="80"/>
      <c r="V11" s="85">
        <f t="shared" si="4"/>
        <v>5853.9060666666664</v>
      </c>
      <c r="W11" s="85">
        <f t="shared" ref="W11:W14" si="6">(S11*8)+T11+U11+V11</f>
        <v>45956.306066666657</v>
      </c>
      <c r="X11" s="85">
        <f t="shared" ref="X11:X14" si="7">((S11*8)+T11+V11)*0.1725</f>
        <v>7927.4627964999981</v>
      </c>
      <c r="Y11" s="85">
        <f t="shared" si="5"/>
        <v>53883.768863166653</v>
      </c>
    </row>
    <row r="12" spans="1:25">
      <c r="A12" s="78">
        <v>3</v>
      </c>
      <c r="B12" s="107" t="s">
        <v>33</v>
      </c>
      <c r="C12" s="99">
        <v>3</v>
      </c>
      <c r="D12" s="99">
        <v>7040</v>
      </c>
      <c r="E12" s="98">
        <v>1</v>
      </c>
      <c r="F12" s="124">
        <f t="shared" si="0"/>
        <v>7040</v>
      </c>
      <c r="G12" s="69"/>
      <c r="H12" s="80"/>
      <c r="I12" s="70"/>
      <c r="J12" s="69"/>
      <c r="K12" s="80"/>
      <c r="L12" s="69"/>
      <c r="M12" s="80"/>
      <c r="N12" s="69"/>
      <c r="O12" s="80">
        <v>6300</v>
      </c>
      <c r="P12" s="73">
        <v>0.5</v>
      </c>
      <c r="Q12" s="80">
        <f t="shared" si="1"/>
        <v>3520</v>
      </c>
      <c r="R12" s="80">
        <f t="shared" si="2"/>
        <v>16860</v>
      </c>
      <c r="S12" s="80">
        <f t="shared" si="3"/>
        <v>50580</v>
      </c>
      <c r="T12" s="85"/>
      <c r="U12" s="80"/>
      <c r="V12" s="85">
        <f t="shared" si="4"/>
        <v>59066.902500000004</v>
      </c>
      <c r="W12" s="85">
        <f t="shared" si="6"/>
        <v>463706.90250000003</v>
      </c>
      <c r="X12" s="85">
        <f t="shared" si="7"/>
        <v>79989.440681249995</v>
      </c>
      <c r="Y12" s="85">
        <f t="shared" si="5"/>
        <v>543696.34318125003</v>
      </c>
    </row>
    <row r="13" spans="1:25">
      <c r="A13" s="78">
        <v>4</v>
      </c>
      <c r="B13" s="107" t="s">
        <v>66</v>
      </c>
      <c r="C13" s="99">
        <v>1</v>
      </c>
      <c r="D13" s="99">
        <v>7040</v>
      </c>
      <c r="E13" s="98">
        <v>1</v>
      </c>
      <c r="F13" s="124">
        <f t="shared" si="0"/>
        <v>7040</v>
      </c>
      <c r="G13" s="69"/>
      <c r="H13" s="80"/>
      <c r="I13" s="70"/>
      <c r="J13" s="80"/>
      <c r="K13" s="80"/>
      <c r="L13" s="69"/>
      <c r="M13" s="80"/>
      <c r="N13" s="69"/>
      <c r="O13" s="80">
        <v>6300</v>
      </c>
      <c r="P13" s="73">
        <v>0.25</v>
      </c>
      <c r="Q13" s="80">
        <f t="shared" si="1"/>
        <v>1760</v>
      </c>
      <c r="R13" s="80">
        <f t="shared" si="2"/>
        <v>15100</v>
      </c>
      <c r="S13" s="80">
        <f t="shared" si="3"/>
        <v>15100</v>
      </c>
      <c r="T13" s="85"/>
      <c r="U13" s="80"/>
      <c r="V13" s="85">
        <f t="shared" si="4"/>
        <v>17633.654166666667</v>
      </c>
      <c r="W13" s="85">
        <f t="shared" si="6"/>
        <v>138433.65416666667</v>
      </c>
      <c r="X13" s="85">
        <f t="shared" si="7"/>
        <v>23879.805343749998</v>
      </c>
      <c r="Y13" s="85">
        <f t="shared" si="5"/>
        <v>162313.45951041667</v>
      </c>
    </row>
    <row r="14" spans="1:25">
      <c r="A14" s="78">
        <v>5</v>
      </c>
      <c r="B14" s="107" t="s">
        <v>49</v>
      </c>
      <c r="C14" s="99">
        <v>1</v>
      </c>
      <c r="D14" s="99">
        <v>7040</v>
      </c>
      <c r="E14" s="98">
        <v>1</v>
      </c>
      <c r="F14" s="124">
        <f t="shared" si="0"/>
        <v>7040</v>
      </c>
      <c r="G14" s="69"/>
      <c r="H14" s="80"/>
      <c r="I14" s="70"/>
      <c r="J14" s="80"/>
      <c r="K14" s="80"/>
      <c r="L14" s="69"/>
      <c r="M14" s="80"/>
      <c r="N14" s="80"/>
      <c r="O14" s="80">
        <v>19000</v>
      </c>
      <c r="P14" s="69"/>
      <c r="Q14" s="80">
        <f t="shared" si="1"/>
        <v>0</v>
      </c>
      <c r="R14" s="80">
        <f t="shared" si="2"/>
        <v>26040</v>
      </c>
      <c r="S14" s="80">
        <f t="shared" si="3"/>
        <v>26040</v>
      </c>
      <c r="T14" s="85"/>
      <c r="U14" s="80"/>
      <c r="V14" s="85">
        <f t="shared" si="4"/>
        <v>30409.295000000002</v>
      </c>
      <c r="W14" s="85">
        <f t="shared" si="6"/>
        <v>238729.29500000001</v>
      </c>
      <c r="X14" s="85">
        <f t="shared" si="7"/>
        <v>41180.803387499996</v>
      </c>
      <c r="Y14" s="85">
        <f t="shared" si="5"/>
        <v>279910.09838750004</v>
      </c>
    </row>
    <row r="15" spans="1:25">
      <c r="A15" s="78">
        <v>6</v>
      </c>
      <c r="B15" s="107" t="s">
        <v>49</v>
      </c>
      <c r="C15" s="99">
        <v>3</v>
      </c>
      <c r="D15" s="99">
        <v>7040</v>
      </c>
      <c r="E15" s="98">
        <v>1</v>
      </c>
      <c r="F15" s="124">
        <f t="shared" si="0"/>
        <v>7040</v>
      </c>
      <c r="G15" s="69"/>
      <c r="H15" s="80"/>
      <c r="I15" s="70"/>
      <c r="J15" s="80"/>
      <c r="K15" s="80"/>
      <c r="L15" s="69"/>
      <c r="M15" s="80"/>
      <c r="N15" s="80"/>
      <c r="O15" s="80">
        <v>8000</v>
      </c>
      <c r="P15" s="69"/>
      <c r="Q15" s="80">
        <f t="shared" si="1"/>
        <v>0</v>
      </c>
      <c r="R15" s="80">
        <f t="shared" si="2"/>
        <v>15040</v>
      </c>
      <c r="S15" s="80">
        <f t="shared" si="3"/>
        <v>45120</v>
      </c>
      <c r="T15" s="85">
        <f t="shared" ref="T15:T16" si="8">(((S15+(S15*14.0135/12/12)))*3/3/29.6)*30</f>
        <v>50179.962837837833</v>
      </c>
      <c r="U15" s="80">
        <f t="shared" ref="U15:U16" si="9">+S15*2</f>
        <v>90240</v>
      </c>
      <c r="V15" s="85">
        <f t="shared" si="4"/>
        <v>52690.76</v>
      </c>
      <c r="W15" s="85">
        <f t="shared" ref="W15:W16" si="10">(S15*7)+T15+U15+V15</f>
        <v>508950.72283783782</v>
      </c>
      <c r="X15" s="85">
        <f t="shared" ref="X15:X16" si="11">((S15*7)+T15+V15)*0.1725</f>
        <v>72227.599689527022</v>
      </c>
      <c r="Y15" s="85">
        <f t="shared" si="5"/>
        <v>581178.32252736483</v>
      </c>
    </row>
    <row r="16" spans="1:25">
      <c r="A16" s="78">
        <v>7</v>
      </c>
      <c r="B16" s="148" t="s">
        <v>152</v>
      </c>
      <c r="C16" s="99">
        <v>3</v>
      </c>
      <c r="D16" s="99">
        <v>7040</v>
      </c>
      <c r="E16" s="98">
        <v>1</v>
      </c>
      <c r="F16" s="124">
        <f t="shared" ref="F16" si="12">+D16*E16</f>
        <v>7040</v>
      </c>
      <c r="G16" s="69"/>
      <c r="H16" s="80"/>
      <c r="I16" s="70"/>
      <c r="J16" s="80"/>
      <c r="K16" s="80"/>
      <c r="L16" s="69"/>
      <c r="M16" s="80"/>
      <c r="N16" s="80"/>
      <c r="O16" s="80">
        <v>19000</v>
      </c>
      <c r="P16" s="69"/>
      <c r="Q16" s="80">
        <f t="shared" ref="Q16" si="13">F16*P16</f>
        <v>0</v>
      </c>
      <c r="R16" s="80">
        <f t="shared" ref="R16" si="14">SUM(F16+H16+M16+O16+Q16)</f>
        <v>26040</v>
      </c>
      <c r="S16" s="80">
        <f t="shared" si="3"/>
        <v>78120</v>
      </c>
      <c r="T16" s="85">
        <f t="shared" si="8"/>
        <v>86880.733530405385</v>
      </c>
      <c r="U16" s="80">
        <f t="shared" si="9"/>
        <v>156240</v>
      </c>
      <c r="V16" s="85">
        <f t="shared" si="4"/>
        <v>91227.885000000009</v>
      </c>
      <c r="W16" s="85">
        <f t="shared" si="10"/>
        <v>881188.61853040545</v>
      </c>
      <c r="X16" s="85">
        <f t="shared" si="11"/>
        <v>125053.63669649493</v>
      </c>
      <c r="Y16" s="85">
        <f t="shared" si="5"/>
        <v>1006242.2552269003</v>
      </c>
    </row>
    <row r="17" spans="1:28" s="64" customFormat="1">
      <c r="A17" s="125"/>
      <c r="B17" s="125" t="s">
        <v>31</v>
      </c>
      <c r="C17" s="175">
        <f>SUM(C10:C16)</f>
        <v>12.5</v>
      </c>
      <c r="D17" s="132">
        <f>SUM(D10:D16)</f>
        <v>49280</v>
      </c>
      <c r="E17" s="132"/>
      <c r="F17" s="132">
        <f>SUM(F10:F16)</f>
        <v>50265.599999999999</v>
      </c>
      <c r="G17" s="132">
        <f>SUM(G10:G15)</f>
        <v>0</v>
      </c>
      <c r="H17" s="132">
        <f>SUM(H10:H15)</f>
        <v>0</v>
      </c>
      <c r="I17" s="132"/>
      <c r="J17" s="132"/>
      <c r="K17" s="132"/>
      <c r="L17" s="132"/>
      <c r="M17" s="132"/>
      <c r="N17" s="132">
        <f>SUM(N10:N15)</f>
        <v>0</v>
      </c>
      <c r="O17" s="132">
        <f>SUM(O10:O16)</f>
        <v>66900</v>
      </c>
      <c r="P17" s="132"/>
      <c r="Q17" s="132">
        <f t="shared" ref="Q17:Y17" si="15">SUM(Q10:Q16)</f>
        <v>5280</v>
      </c>
      <c r="R17" s="132">
        <f t="shared" si="15"/>
        <v>122445.6</v>
      </c>
      <c r="S17" s="132">
        <f t="shared" si="15"/>
        <v>233312.8</v>
      </c>
      <c r="T17" s="132">
        <f t="shared" si="15"/>
        <v>137060.69636824323</v>
      </c>
      <c r="U17" s="132">
        <f t="shared" si="15"/>
        <v>246480</v>
      </c>
      <c r="V17" s="132">
        <f t="shared" si="15"/>
        <v>272460.74356666667</v>
      </c>
      <c r="W17" s="132">
        <f t="shared" si="15"/>
        <v>2399263.8399349097</v>
      </c>
      <c r="X17" s="132">
        <f t="shared" si="15"/>
        <v>371355.21238877194</v>
      </c>
      <c r="Y17" s="132">
        <f t="shared" si="15"/>
        <v>2770619.0523236822</v>
      </c>
    </row>
    <row r="18" spans="1:28">
      <c r="A18" s="434" t="s">
        <v>355</v>
      </c>
      <c r="B18" s="435"/>
      <c r="C18" s="435"/>
      <c r="D18" s="435"/>
      <c r="E18" s="435"/>
      <c r="F18" s="435"/>
      <c r="G18" s="435"/>
      <c r="H18" s="435"/>
      <c r="I18" s="435"/>
      <c r="J18" s="435"/>
      <c r="K18" s="435"/>
      <c r="L18" s="435"/>
      <c r="M18" s="435"/>
      <c r="N18" s="435"/>
      <c r="O18" s="435"/>
      <c r="P18" s="435"/>
      <c r="Q18" s="435"/>
      <c r="R18" s="435"/>
      <c r="S18" s="435"/>
      <c r="T18" s="435"/>
      <c r="U18" s="435"/>
      <c r="V18" s="435"/>
      <c r="W18" s="435"/>
      <c r="X18" s="435"/>
      <c r="Y18" s="436"/>
    </row>
    <row r="19" spans="1:28">
      <c r="A19" s="78">
        <v>1</v>
      </c>
      <c r="B19" s="107" t="s">
        <v>56</v>
      </c>
      <c r="C19" s="99">
        <v>1</v>
      </c>
      <c r="D19" s="99">
        <v>7040</v>
      </c>
      <c r="E19" s="98">
        <v>1.2</v>
      </c>
      <c r="F19" s="124">
        <f t="shared" ref="F19" si="16">+D19*E19</f>
        <v>8448</v>
      </c>
      <c r="G19" s="69"/>
      <c r="H19" s="80"/>
      <c r="I19" s="70"/>
      <c r="J19" s="69"/>
      <c r="K19" s="80"/>
      <c r="L19" s="69"/>
      <c r="M19" s="80"/>
      <c r="N19" s="80"/>
      <c r="O19" s="80">
        <v>6300</v>
      </c>
      <c r="P19" s="69"/>
      <c r="Q19" s="80">
        <f t="shared" ref="Q19:Q25" si="17">F19*P19</f>
        <v>0</v>
      </c>
      <c r="R19" s="80">
        <f t="shared" ref="R19:R25" si="18">SUM(F19+H19+M19+O19+Q19)</f>
        <v>14748</v>
      </c>
      <c r="S19" s="80">
        <f t="shared" ref="S19:S25" si="19">R19*C19</f>
        <v>14748</v>
      </c>
      <c r="T19" s="85"/>
      <c r="U19" s="80"/>
      <c r="V19" s="85">
        <f t="shared" ref="V19:V25" si="20">(S19*14.0135)/12</f>
        <v>17222.591499999999</v>
      </c>
      <c r="W19" s="85">
        <f t="shared" ref="W19:W23" si="21">(S19*8)+T19+U19+V19</f>
        <v>135206.59150000001</v>
      </c>
      <c r="X19" s="85">
        <f t="shared" ref="X19:X23" si="22">((S19*8)+T19+V19)*0.1725</f>
        <v>23323.137033750001</v>
      </c>
      <c r="Y19" s="85">
        <f t="shared" ref="Y19:Y25" si="23">W19+X19</f>
        <v>158529.72853375002</v>
      </c>
    </row>
    <row r="20" spans="1:28">
      <c r="A20" s="78">
        <v>2</v>
      </c>
      <c r="B20" s="107" t="s">
        <v>32</v>
      </c>
      <c r="C20" s="104">
        <v>0.5</v>
      </c>
      <c r="D20" s="99">
        <v>7040</v>
      </c>
      <c r="E20" s="98">
        <v>1.4</v>
      </c>
      <c r="F20" s="124">
        <f>+D20*E20</f>
        <v>9856</v>
      </c>
      <c r="G20" s="69"/>
      <c r="H20" s="80"/>
      <c r="I20" s="70"/>
      <c r="J20" s="70"/>
      <c r="K20" s="70"/>
      <c r="L20" s="69"/>
      <c r="M20" s="80"/>
      <c r="N20" s="80"/>
      <c r="O20" s="80">
        <v>2000</v>
      </c>
      <c r="P20" s="69"/>
      <c r="Q20" s="80">
        <f t="shared" si="17"/>
        <v>0</v>
      </c>
      <c r="R20" s="80">
        <f t="shared" si="18"/>
        <v>11856</v>
      </c>
      <c r="S20" s="80">
        <f t="shared" si="19"/>
        <v>5928</v>
      </c>
      <c r="T20" s="85"/>
      <c r="U20" s="80"/>
      <c r="V20" s="85">
        <f t="shared" si="20"/>
        <v>6922.6690000000008</v>
      </c>
      <c r="W20" s="85">
        <f t="shared" si="21"/>
        <v>54346.669000000002</v>
      </c>
      <c r="X20" s="85">
        <f t="shared" si="22"/>
        <v>9374.8004024999991</v>
      </c>
      <c r="Y20" s="85">
        <f t="shared" si="23"/>
        <v>63721.469402499999</v>
      </c>
    </row>
    <row r="21" spans="1:28">
      <c r="A21" s="78">
        <v>3</v>
      </c>
      <c r="B21" s="107" t="s">
        <v>33</v>
      </c>
      <c r="C21" s="99">
        <v>3</v>
      </c>
      <c r="D21" s="99">
        <v>7040</v>
      </c>
      <c r="E21" s="98">
        <v>1.2</v>
      </c>
      <c r="F21" s="124">
        <f t="shared" ref="F21:F25" si="24">+D21*E21</f>
        <v>8448</v>
      </c>
      <c r="G21" s="69"/>
      <c r="H21" s="80"/>
      <c r="I21" s="70"/>
      <c r="J21" s="69"/>
      <c r="K21" s="80"/>
      <c r="L21" s="69"/>
      <c r="M21" s="80"/>
      <c r="N21" s="69"/>
      <c r="O21" s="80">
        <v>6300</v>
      </c>
      <c r="P21" s="73">
        <v>0.5</v>
      </c>
      <c r="Q21" s="80">
        <f t="shared" si="17"/>
        <v>4224</v>
      </c>
      <c r="R21" s="80">
        <f t="shared" si="18"/>
        <v>18972</v>
      </c>
      <c r="S21" s="80">
        <f t="shared" si="19"/>
        <v>56916</v>
      </c>
      <c r="T21" s="85"/>
      <c r="U21" s="80"/>
      <c r="V21" s="85">
        <f t="shared" si="20"/>
        <v>66466.030500000008</v>
      </c>
      <c r="W21" s="85">
        <f t="shared" si="21"/>
        <v>521794.03049999999</v>
      </c>
      <c r="X21" s="85">
        <f t="shared" si="22"/>
        <v>90009.470261249997</v>
      </c>
      <c r="Y21" s="85">
        <f t="shared" si="23"/>
        <v>611803.50076125003</v>
      </c>
    </row>
    <row r="22" spans="1:28">
      <c r="A22" s="78">
        <v>4</v>
      </c>
      <c r="B22" s="107" t="s">
        <v>66</v>
      </c>
      <c r="C22" s="99">
        <v>1</v>
      </c>
      <c r="D22" s="99">
        <v>7040</v>
      </c>
      <c r="E22" s="98">
        <v>1.2</v>
      </c>
      <c r="F22" s="124">
        <f t="shared" si="24"/>
        <v>8448</v>
      </c>
      <c r="G22" s="69"/>
      <c r="H22" s="80"/>
      <c r="I22" s="70"/>
      <c r="J22" s="80"/>
      <c r="K22" s="80"/>
      <c r="L22" s="69"/>
      <c r="M22" s="80"/>
      <c r="N22" s="69"/>
      <c r="O22" s="80">
        <v>6300</v>
      </c>
      <c r="P22" s="73">
        <v>0.25</v>
      </c>
      <c r="Q22" s="80">
        <f t="shared" si="17"/>
        <v>2112</v>
      </c>
      <c r="R22" s="80">
        <f t="shared" si="18"/>
        <v>16860</v>
      </c>
      <c r="S22" s="80">
        <f t="shared" si="19"/>
        <v>16860</v>
      </c>
      <c r="T22" s="85"/>
      <c r="U22" s="80"/>
      <c r="V22" s="85">
        <f t="shared" si="20"/>
        <v>19688.967500000002</v>
      </c>
      <c r="W22" s="85">
        <f t="shared" si="21"/>
        <v>154568.9675</v>
      </c>
      <c r="X22" s="85">
        <f t="shared" si="22"/>
        <v>26663.146893749999</v>
      </c>
      <c r="Y22" s="85">
        <f t="shared" si="23"/>
        <v>181232.11439375</v>
      </c>
    </row>
    <row r="23" spans="1:28">
      <c r="A23" s="78">
        <v>5</v>
      </c>
      <c r="B23" s="107" t="s">
        <v>49</v>
      </c>
      <c r="C23" s="99">
        <v>1</v>
      </c>
      <c r="D23" s="99">
        <v>7040</v>
      </c>
      <c r="E23" s="98">
        <v>1.2</v>
      </c>
      <c r="F23" s="124">
        <f t="shared" si="24"/>
        <v>8448</v>
      </c>
      <c r="G23" s="69"/>
      <c r="H23" s="80"/>
      <c r="I23" s="70"/>
      <c r="J23" s="80"/>
      <c r="K23" s="80"/>
      <c r="L23" s="69"/>
      <c r="M23" s="80"/>
      <c r="N23" s="80"/>
      <c r="O23" s="80">
        <v>19000</v>
      </c>
      <c r="P23" s="69"/>
      <c r="Q23" s="80">
        <f t="shared" si="17"/>
        <v>0</v>
      </c>
      <c r="R23" s="80">
        <f t="shared" si="18"/>
        <v>27448</v>
      </c>
      <c r="S23" s="80">
        <f t="shared" si="19"/>
        <v>27448</v>
      </c>
      <c r="T23" s="85"/>
      <c r="U23" s="80"/>
      <c r="V23" s="85">
        <f t="shared" si="20"/>
        <v>32053.545666666669</v>
      </c>
      <c r="W23" s="85">
        <f t="shared" si="21"/>
        <v>251637.54566666667</v>
      </c>
      <c r="X23" s="85">
        <f t="shared" si="22"/>
        <v>43407.4766275</v>
      </c>
      <c r="Y23" s="85">
        <f t="shared" si="23"/>
        <v>295045.02229416667</v>
      </c>
    </row>
    <row r="24" spans="1:28">
      <c r="A24" s="78">
        <v>6</v>
      </c>
      <c r="B24" s="107" t="s">
        <v>49</v>
      </c>
      <c r="C24" s="99">
        <v>3</v>
      </c>
      <c r="D24" s="99">
        <v>7040</v>
      </c>
      <c r="E24" s="98">
        <v>1.2</v>
      </c>
      <c r="F24" s="124">
        <f t="shared" si="24"/>
        <v>8448</v>
      </c>
      <c r="G24" s="69"/>
      <c r="H24" s="80"/>
      <c r="I24" s="70"/>
      <c r="J24" s="80"/>
      <c r="K24" s="80"/>
      <c r="L24" s="69"/>
      <c r="M24" s="80"/>
      <c r="N24" s="80"/>
      <c r="O24" s="80">
        <v>8000</v>
      </c>
      <c r="P24" s="69"/>
      <c r="Q24" s="80">
        <f t="shared" si="17"/>
        <v>0</v>
      </c>
      <c r="R24" s="80">
        <f t="shared" si="18"/>
        <v>16448</v>
      </c>
      <c r="S24" s="80">
        <f t="shared" si="19"/>
        <v>49344</v>
      </c>
      <c r="T24" s="85">
        <f t="shared" ref="T24:T25" si="25">(((S24+(S24*14.0135/12/12)))*3/3/29.6)*30</f>
        <v>54877.661486486482</v>
      </c>
      <c r="U24" s="80">
        <f t="shared" ref="U24:U25" si="26">+S24*2</f>
        <v>98688</v>
      </c>
      <c r="V24" s="85">
        <f t="shared" si="20"/>
        <v>57623.511999999995</v>
      </c>
      <c r="W24" s="85">
        <f t="shared" ref="W24:W25" si="27">(S24*7)+T24+U24+V24</f>
        <v>556597.17348648654</v>
      </c>
      <c r="X24" s="85">
        <f t="shared" ref="X24:X25" si="28">((S24*7)+T24+V24)*0.1725</f>
        <v>78989.332426418914</v>
      </c>
      <c r="Y24" s="85">
        <f t="shared" si="23"/>
        <v>635586.50591290544</v>
      </c>
    </row>
    <row r="25" spans="1:28">
      <c r="A25" s="78">
        <v>7</v>
      </c>
      <c r="B25" s="148" t="s">
        <v>152</v>
      </c>
      <c r="C25" s="99">
        <v>3</v>
      </c>
      <c r="D25" s="99">
        <v>7040</v>
      </c>
      <c r="E25" s="98">
        <v>1.2</v>
      </c>
      <c r="F25" s="124">
        <f t="shared" si="24"/>
        <v>8448</v>
      </c>
      <c r="G25" s="69"/>
      <c r="H25" s="80"/>
      <c r="I25" s="70"/>
      <c r="J25" s="80"/>
      <c r="K25" s="80"/>
      <c r="L25" s="69"/>
      <c r="M25" s="80"/>
      <c r="N25" s="80"/>
      <c r="O25" s="80">
        <v>19000</v>
      </c>
      <c r="P25" s="69"/>
      <c r="Q25" s="80">
        <f t="shared" si="17"/>
        <v>0</v>
      </c>
      <c r="R25" s="80">
        <f t="shared" si="18"/>
        <v>27448</v>
      </c>
      <c r="S25" s="80">
        <f t="shared" si="19"/>
        <v>82344</v>
      </c>
      <c r="T25" s="85">
        <f t="shared" si="25"/>
        <v>91578.432179054042</v>
      </c>
      <c r="U25" s="80">
        <f t="shared" si="26"/>
        <v>164688</v>
      </c>
      <c r="V25" s="85">
        <f t="shared" si="20"/>
        <v>96160.637000000002</v>
      </c>
      <c r="W25" s="85">
        <f t="shared" si="27"/>
        <v>928835.069179054</v>
      </c>
      <c r="X25" s="85">
        <f t="shared" si="28"/>
        <v>131815.3694333868</v>
      </c>
      <c r="Y25" s="85">
        <f t="shared" si="23"/>
        <v>1060650.4386124408</v>
      </c>
    </row>
    <row r="26" spans="1:28" s="64" customFormat="1">
      <c r="A26" s="125"/>
      <c r="B26" s="125" t="s">
        <v>31</v>
      </c>
      <c r="C26" s="175">
        <f>SUM(C19:C25)</f>
        <v>12.5</v>
      </c>
      <c r="D26" s="132">
        <f>SUM(D19:D25)</f>
        <v>49280</v>
      </c>
      <c r="E26" s="132"/>
      <c r="F26" s="132">
        <f>SUM(F19:F25)</f>
        <v>60544</v>
      </c>
      <c r="G26" s="132">
        <f>SUM(G19:G24)</f>
        <v>0</v>
      </c>
      <c r="H26" s="132">
        <f>SUM(H19:H24)</f>
        <v>0</v>
      </c>
      <c r="I26" s="132"/>
      <c r="J26" s="132"/>
      <c r="K26" s="132"/>
      <c r="L26" s="132"/>
      <c r="M26" s="132"/>
      <c r="N26" s="132">
        <f>SUM(N19:N24)</f>
        <v>0</v>
      </c>
      <c r="O26" s="132">
        <f>SUM(O19:O25)</f>
        <v>66900</v>
      </c>
      <c r="P26" s="132"/>
      <c r="Q26" s="132">
        <f t="shared" ref="Q26:Y26" si="29">SUM(Q19:Q25)</f>
        <v>6336</v>
      </c>
      <c r="R26" s="132">
        <f t="shared" si="29"/>
        <v>133780</v>
      </c>
      <c r="S26" s="132">
        <f t="shared" si="29"/>
        <v>253588</v>
      </c>
      <c r="T26" s="132">
        <f t="shared" si="29"/>
        <v>146456.09366554051</v>
      </c>
      <c r="U26" s="132">
        <f t="shared" si="29"/>
        <v>263376</v>
      </c>
      <c r="V26" s="132">
        <f t="shared" si="29"/>
        <v>296137.95316666667</v>
      </c>
      <c r="W26" s="132">
        <f t="shared" si="29"/>
        <v>2602986.0468322071</v>
      </c>
      <c r="X26" s="132">
        <f t="shared" si="29"/>
        <v>403582.73307855567</v>
      </c>
      <c r="Y26" s="132">
        <f t="shared" si="29"/>
        <v>3006568.7799107628</v>
      </c>
    </row>
    <row r="30" spans="1:28">
      <c r="B30" s="451" t="s">
        <v>530</v>
      </c>
      <c r="C30" s="450"/>
      <c r="D30" s="450"/>
      <c r="E30" s="450"/>
      <c r="F30" s="450"/>
      <c r="G30" s="450"/>
      <c r="H30" s="450"/>
      <c r="I30" s="450"/>
      <c r="J30" s="450"/>
      <c r="K30" s="450"/>
      <c r="L30" s="450"/>
      <c r="M30" s="450"/>
      <c r="N30" s="450"/>
      <c r="O30" s="450"/>
      <c r="P30" s="450"/>
      <c r="Q30" s="450"/>
      <c r="R30" s="450"/>
      <c r="S30" s="450"/>
      <c r="T30" s="450"/>
      <c r="U30" s="450"/>
      <c r="V30" s="450"/>
      <c r="W30" s="450"/>
      <c r="X30" s="450"/>
      <c r="Y30" s="450"/>
      <c r="Z30" s="450"/>
      <c r="AA30" s="450"/>
      <c r="AB30" s="450"/>
    </row>
  </sheetData>
  <mergeCells count="25">
    <mergeCell ref="B30:AB30"/>
    <mergeCell ref="X1:Y1"/>
    <mergeCell ref="A3:Y3"/>
    <mergeCell ref="A5:A7"/>
    <mergeCell ref="B5:B7"/>
    <mergeCell ref="C5:C7"/>
    <mergeCell ref="D5:D7"/>
    <mergeCell ref="E5:E7"/>
    <mergeCell ref="F5:F7"/>
    <mergeCell ref="G5:Q5"/>
    <mergeCell ref="R5:R6"/>
    <mergeCell ref="S5:S6"/>
    <mergeCell ref="T5:T6"/>
    <mergeCell ref="U5:U6"/>
    <mergeCell ref="V5:V6"/>
    <mergeCell ref="W5:W6"/>
    <mergeCell ref="X5:X6"/>
    <mergeCell ref="Y5:Y6"/>
    <mergeCell ref="A9:Y9"/>
    <mergeCell ref="A18:Y18"/>
    <mergeCell ref="G6:H6"/>
    <mergeCell ref="J6:K6"/>
    <mergeCell ref="L6:M6"/>
    <mergeCell ref="N6:O6"/>
    <mergeCell ref="P6:Q6"/>
  </mergeCells>
  <pageMargins left="0" right="0" top="0.74803149606299213" bottom="0.74803149606299213" header="0.31496062992125984" footer="0.31496062992125984"/>
  <pageSetup paperSize="9" scale="90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C000"/>
    <pageSetUpPr fitToPage="1"/>
  </sheetPr>
  <dimension ref="A1:AB26"/>
  <sheetViews>
    <sheetView view="pageBreakPreview" zoomScaleNormal="85" zoomScaleSheetLayoutView="100" workbookViewId="0">
      <selection activeCell="V24" sqref="V24"/>
    </sheetView>
  </sheetViews>
  <sheetFormatPr defaultColWidth="9.140625" defaultRowHeight="12.75"/>
  <cols>
    <col min="1" max="1" width="3.28515625" style="64" bestFit="1" customWidth="1"/>
    <col min="2" max="2" width="28.28515625" style="64" customWidth="1"/>
    <col min="3" max="3" width="5.5703125" style="64" customWidth="1"/>
    <col min="4" max="4" width="7" style="64" customWidth="1"/>
    <col min="5" max="5" width="5.28515625" style="64" customWidth="1"/>
    <col min="6" max="6" width="7.85546875" style="64" customWidth="1"/>
    <col min="7" max="7" width="4.85546875" style="64" customWidth="1"/>
    <col min="8" max="8" width="6.7109375" style="64" customWidth="1"/>
    <col min="9" max="9" width="7.140625" style="64" hidden="1" customWidth="1"/>
    <col min="10" max="11" width="9.140625" style="64" hidden="1" customWidth="1"/>
    <col min="12" max="13" width="0" style="64" hidden="1" customWidth="1"/>
    <col min="14" max="14" width="5.140625" style="64" customWidth="1"/>
    <col min="15" max="15" width="6.85546875" style="64" customWidth="1"/>
    <col min="16" max="16" width="5.5703125" style="64" customWidth="1"/>
    <col min="17" max="17" width="8.85546875" style="64" customWidth="1"/>
    <col min="18" max="22" width="8.140625" style="64" customWidth="1"/>
    <col min="23" max="23" width="9.140625" style="64" customWidth="1"/>
    <col min="24" max="24" width="8.140625" style="64" customWidth="1"/>
    <col min="25" max="25" width="9.85546875" style="64" customWidth="1"/>
    <col min="26" max="16384" width="9.140625" style="64"/>
  </cols>
  <sheetData>
    <row r="1" spans="1:25" s="5" customFormat="1" ht="67.900000000000006" customHeight="1">
      <c r="A1" s="4"/>
      <c r="B1" s="118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119"/>
      <c r="V1" s="4"/>
      <c r="X1" s="399" t="s">
        <v>533</v>
      </c>
      <c r="Y1" s="399"/>
    </row>
    <row r="2" spans="1:25" s="5" customFormat="1">
      <c r="A2" s="4"/>
      <c r="B2" s="102"/>
      <c r="T2" s="120"/>
      <c r="Y2" s="120"/>
    </row>
    <row r="3" spans="1:25" s="5" customFormat="1">
      <c r="A3" s="442" t="s">
        <v>158</v>
      </c>
      <c r="B3" s="442"/>
      <c r="C3" s="442"/>
      <c r="D3" s="442"/>
      <c r="E3" s="442"/>
      <c r="F3" s="442"/>
      <c r="G3" s="442"/>
      <c r="H3" s="442"/>
      <c r="I3" s="442"/>
      <c r="J3" s="442"/>
      <c r="K3" s="442"/>
      <c r="L3" s="442"/>
      <c r="M3" s="442"/>
      <c r="N3" s="442"/>
      <c r="O3" s="442"/>
      <c r="P3" s="442"/>
      <c r="Q3" s="442"/>
      <c r="R3" s="442"/>
      <c r="S3" s="442"/>
      <c r="T3" s="442"/>
      <c r="U3" s="442"/>
      <c r="V3" s="442"/>
      <c r="W3" s="442"/>
      <c r="X3" s="442"/>
      <c r="Y3" s="442"/>
    </row>
    <row r="4" spans="1:25" s="5" customFormat="1">
      <c r="A4" s="442"/>
      <c r="B4" s="442"/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2"/>
      <c r="O4" s="442"/>
      <c r="P4" s="442"/>
      <c r="Q4" s="442"/>
      <c r="R4" s="442"/>
      <c r="S4" s="442"/>
      <c r="T4" s="442"/>
    </row>
    <row r="5" spans="1:25">
      <c r="A5" s="441" t="s">
        <v>0</v>
      </c>
      <c r="B5" s="441" t="s">
        <v>20</v>
      </c>
      <c r="C5" s="441" t="s">
        <v>21</v>
      </c>
      <c r="D5" s="441" t="s">
        <v>22</v>
      </c>
      <c r="E5" s="441" t="s">
        <v>103</v>
      </c>
      <c r="F5" s="443" t="s">
        <v>23</v>
      </c>
      <c r="G5" s="434" t="s">
        <v>104</v>
      </c>
      <c r="H5" s="435"/>
      <c r="I5" s="435"/>
      <c r="J5" s="435"/>
      <c r="K5" s="435"/>
      <c r="L5" s="435"/>
      <c r="M5" s="435"/>
      <c r="N5" s="435"/>
      <c r="O5" s="435"/>
      <c r="P5" s="435"/>
      <c r="Q5" s="436"/>
      <c r="R5" s="441" t="s">
        <v>28</v>
      </c>
      <c r="S5" s="441" t="s">
        <v>166</v>
      </c>
      <c r="T5" s="441" t="s">
        <v>105</v>
      </c>
      <c r="U5" s="441" t="s">
        <v>106</v>
      </c>
      <c r="V5" s="441" t="s">
        <v>108</v>
      </c>
      <c r="W5" s="437" t="s">
        <v>110</v>
      </c>
      <c r="X5" s="437" t="s">
        <v>111</v>
      </c>
      <c r="Y5" s="437" t="s">
        <v>112</v>
      </c>
    </row>
    <row r="6" spans="1:25" ht="76.900000000000006" customHeight="1">
      <c r="A6" s="441"/>
      <c r="B6" s="441"/>
      <c r="C6" s="441"/>
      <c r="D6" s="441"/>
      <c r="E6" s="441"/>
      <c r="F6" s="443"/>
      <c r="G6" s="441" t="s">
        <v>85</v>
      </c>
      <c r="H6" s="441"/>
      <c r="I6" s="127" t="s">
        <v>25</v>
      </c>
      <c r="J6" s="441" t="s">
        <v>24</v>
      </c>
      <c r="K6" s="441"/>
      <c r="L6" s="444" t="s">
        <v>134</v>
      </c>
      <c r="M6" s="445"/>
      <c r="N6" s="441" t="s">
        <v>26</v>
      </c>
      <c r="O6" s="441"/>
      <c r="P6" s="439" t="s">
        <v>115</v>
      </c>
      <c r="Q6" s="440"/>
      <c r="R6" s="441"/>
      <c r="S6" s="441"/>
      <c r="T6" s="441"/>
      <c r="U6" s="441"/>
      <c r="V6" s="441"/>
      <c r="W6" s="438"/>
      <c r="X6" s="438"/>
      <c r="Y6" s="438"/>
    </row>
    <row r="7" spans="1:25">
      <c r="A7" s="441"/>
      <c r="B7" s="441"/>
      <c r="C7" s="441"/>
      <c r="D7" s="441"/>
      <c r="E7" s="441"/>
      <c r="F7" s="443"/>
      <c r="G7" s="125" t="s">
        <v>3</v>
      </c>
      <c r="H7" s="125" t="s">
        <v>29</v>
      </c>
      <c r="I7" s="125" t="s">
        <v>29</v>
      </c>
      <c r="J7" s="125" t="s">
        <v>3</v>
      </c>
      <c r="K7" s="125" t="s">
        <v>29</v>
      </c>
      <c r="L7" s="125" t="s">
        <v>3</v>
      </c>
      <c r="M7" s="125" t="s">
        <v>29</v>
      </c>
      <c r="N7" s="125" t="s">
        <v>3</v>
      </c>
      <c r="O7" s="125" t="s">
        <v>29</v>
      </c>
      <c r="P7" s="125" t="s">
        <v>3</v>
      </c>
      <c r="Q7" s="125" t="s">
        <v>29</v>
      </c>
      <c r="R7" s="125" t="s">
        <v>29</v>
      </c>
      <c r="S7" s="125" t="s">
        <v>29</v>
      </c>
      <c r="T7" s="125" t="s">
        <v>29</v>
      </c>
      <c r="U7" s="125" t="s">
        <v>29</v>
      </c>
      <c r="V7" s="125" t="s">
        <v>29</v>
      </c>
      <c r="W7" s="125" t="s">
        <v>29</v>
      </c>
      <c r="X7" s="125" t="s">
        <v>29</v>
      </c>
      <c r="Y7" s="125" t="s">
        <v>29</v>
      </c>
    </row>
    <row r="8" spans="1:25">
      <c r="A8" s="125">
        <v>1</v>
      </c>
      <c r="B8" s="125">
        <v>2</v>
      </c>
      <c r="C8" s="125">
        <v>3</v>
      </c>
      <c r="D8" s="125">
        <v>4</v>
      </c>
      <c r="E8" s="125">
        <v>5</v>
      </c>
      <c r="F8" s="125">
        <v>6</v>
      </c>
      <c r="G8" s="125">
        <v>7</v>
      </c>
      <c r="H8" s="125">
        <v>8</v>
      </c>
      <c r="I8" s="125">
        <v>9</v>
      </c>
      <c r="J8" s="125">
        <v>10</v>
      </c>
      <c r="K8" s="125">
        <v>11</v>
      </c>
      <c r="L8" s="125">
        <v>12</v>
      </c>
      <c r="M8" s="125">
        <v>13</v>
      </c>
      <c r="N8" s="125">
        <v>9</v>
      </c>
      <c r="O8" s="125">
        <v>10</v>
      </c>
      <c r="P8" s="125">
        <v>11</v>
      </c>
      <c r="Q8" s="125">
        <v>12</v>
      </c>
      <c r="R8" s="125">
        <v>13</v>
      </c>
      <c r="S8" s="125">
        <v>14</v>
      </c>
      <c r="T8" s="125">
        <v>15</v>
      </c>
      <c r="U8" s="125">
        <v>16</v>
      </c>
      <c r="V8" s="126" t="s">
        <v>130</v>
      </c>
      <c r="W8" s="126" t="s">
        <v>123</v>
      </c>
      <c r="X8" s="126" t="s">
        <v>124</v>
      </c>
      <c r="Y8" s="126" t="s">
        <v>117</v>
      </c>
    </row>
    <row r="9" spans="1:25">
      <c r="A9" s="434" t="s">
        <v>354</v>
      </c>
      <c r="B9" s="435"/>
      <c r="C9" s="435"/>
      <c r="D9" s="435"/>
      <c r="E9" s="435"/>
      <c r="F9" s="435"/>
      <c r="G9" s="435"/>
      <c r="H9" s="435"/>
      <c r="I9" s="435"/>
      <c r="J9" s="435"/>
      <c r="K9" s="435"/>
      <c r="L9" s="435"/>
      <c r="M9" s="435"/>
      <c r="N9" s="435"/>
      <c r="O9" s="435"/>
      <c r="P9" s="435"/>
      <c r="Q9" s="435"/>
      <c r="R9" s="435"/>
      <c r="S9" s="435"/>
      <c r="T9" s="435"/>
      <c r="U9" s="435"/>
      <c r="V9" s="435"/>
      <c r="W9" s="435"/>
      <c r="X9" s="435"/>
      <c r="Y9" s="436"/>
    </row>
    <row r="10" spans="1:25">
      <c r="A10" s="78">
        <v>1</v>
      </c>
      <c r="B10" s="109" t="s">
        <v>34</v>
      </c>
      <c r="C10" s="97">
        <v>1</v>
      </c>
      <c r="D10" s="144">
        <v>7040</v>
      </c>
      <c r="E10" s="98">
        <v>1.8</v>
      </c>
      <c r="F10" s="144">
        <f t="shared" ref="F10:F13" si="0">+D10*E10</f>
        <v>12672</v>
      </c>
      <c r="G10" s="73"/>
      <c r="H10" s="144"/>
      <c r="I10" s="70"/>
      <c r="J10" s="73"/>
      <c r="K10" s="79"/>
      <c r="L10" s="73"/>
      <c r="M10" s="80"/>
      <c r="N10" s="73"/>
      <c r="O10" s="144">
        <v>8000</v>
      </c>
      <c r="P10" s="73"/>
      <c r="Q10" s="85"/>
      <c r="R10" s="144">
        <f t="shared" ref="R10:R13" si="1">SUM(F10+H10+I10+M10+O10+Q10)</f>
        <v>20672</v>
      </c>
      <c r="S10" s="144">
        <f t="shared" ref="S10:S13" si="2">R10*C10</f>
        <v>20672</v>
      </c>
      <c r="T10" s="85">
        <f t="shared" ref="T10:T12" si="3">(((S10+(S10*14.0135/12/12)))*3/3/29.6)*30</f>
        <v>22990.252477477476</v>
      </c>
      <c r="U10" s="144">
        <f t="shared" ref="U10:U12" si="4">+S10*2</f>
        <v>41344</v>
      </c>
      <c r="V10" s="85">
        <f t="shared" ref="V10:V12" si="5">(S10*14.0135)/12</f>
        <v>24140.589333333333</v>
      </c>
      <c r="W10" s="144">
        <f>(S10*7)+T10+U10+V10</f>
        <v>233178.84181081082</v>
      </c>
      <c r="X10" s="144">
        <f>((S10*7)+T10+V10)*0.1725</f>
        <v>33091.510212364861</v>
      </c>
      <c r="Y10" s="144">
        <f t="shared" ref="Y10:Y14" si="6">W10+X10</f>
        <v>266270.35202317568</v>
      </c>
    </row>
    <row r="11" spans="1:25">
      <c r="A11" s="78">
        <v>2</v>
      </c>
      <c r="B11" s="110" t="s">
        <v>35</v>
      </c>
      <c r="C11" s="97">
        <v>1</v>
      </c>
      <c r="D11" s="144">
        <v>7040</v>
      </c>
      <c r="E11" s="98">
        <v>1.1399999999999999</v>
      </c>
      <c r="F11" s="144">
        <f t="shared" si="0"/>
        <v>8025.5999999999995</v>
      </c>
      <c r="G11" s="73"/>
      <c r="H11" s="144">
        <f t="shared" ref="H11:H14" si="7">F11*G11</f>
        <v>0</v>
      </c>
      <c r="I11" s="70"/>
      <c r="J11" s="70"/>
      <c r="K11" s="70"/>
      <c r="L11" s="73"/>
      <c r="M11" s="80"/>
      <c r="N11" s="73"/>
      <c r="O11" s="144">
        <v>8000</v>
      </c>
      <c r="P11" s="73"/>
      <c r="Q11" s="85"/>
      <c r="R11" s="144">
        <f t="shared" si="1"/>
        <v>16025.599999999999</v>
      </c>
      <c r="S11" s="144">
        <f t="shared" si="2"/>
        <v>16025.599999999999</v>
      </c>
      <c r="T11" s="85">
        <f t="shared" si="3"/>
        <v>17822.783963963964</v>
      </c>
      <c r="U11" s="144">
        <f t="shared" si="4"/>
        <v>32051.199999999997</v>
      </c>
      <c r="V11" s="85">
        <f t="shared" si="5"/>
        <v>18714.562133333333</v>
      </c>
      <c r="W11" s="144">
        <f t="shared" ref="W11:W12" si="8">(S11*7)+T11+U11+V11</f>
        <v>180767.74609729726</v>
      </c>
      <c r="X11" s="144">
        <f t="shared" ref="X11:X12" si="9">((S11*7)+T11+V11)*0.1725</f>
        <v>25653.604201783779</v>
      </c>
      <c r="Y11" s="144">
        <f t="shared" si="6"/>
        <v>206421.35029908104</v>
      </c>
    </row>
    <row r="12" spans="1:25">
      <c r="A12" s="78">
        <v>3</v>
      </c>
      <c r="B12" s="110" t="s">
        <v>36</v>
      </c>
      <c r="C12" s="97">
        <v>1</v>
      </c>
      <c r="D12" s="144">
        <v>7040</v>
      </c>
      <c r="E12" s="98">
        <v>1</v>
      </c>
      <c r="F12" s="144">
        <f t="shared" si="0"/>
        <v>7040</v>
      </c>
      <c r="G12" s="73"/>
      <c r="H12" s="144">
        <f t="shared" si="7"/>
        <v>0</v>
      </c>
      <c r="I12" s="70"/>
      <c r="J12" s="79"/>
      <c r="K12" s="79"/>
      <c r="L12" s="73"/>
      <c r="M12" s="80"/>
      <c r="N12" s="73"/>
      <c r="O12" s="144">
        <v>4000</v>
      </c>
      <c r="P12" s="73">
        <v>0.25</v>
      </c>
      <c r="Q12" s="85">
        <f t="shared" ref="Q12:Q14" si="10">+P12*F12</f>
        <v>1760</v>
      </c>
      <c r="R12" s="144">
        <f t="shared" si="1"/>
        <v>12800</v>
      </c>
      <c r="S12" s="144">
        <f t="shared" si="2"/>
        <v>12800</v>
      </c>
      <c r="T12" s="85">
        <f t="shared" si="3"/>
        <v>14235.450450450449</v>
      </c>
      <c r="U12" s="144">
        <f t="shared" si="4"/>
        <v>25600</v>
      </c>
      <c r="V12" s="85">
        <f t="shared" si="5"/>
        <v>14947.733333333335</v>
      </c>
      <c r="W12" s="144">
        <f t="shared" si="8"/>
        <v>144383.18378378378</v>
      </c>
      <c r="X12" s="144">
        <f t="shared" si="9"/>
        <v>20490.099202702702</v>
      </c>
      <c r="Y12" s="144">
        <f t="shared" si="6"/>
        <v>164873.28298648648</v>
      </c>
    </row>
    <row r="13" spans="1:25">
      <c r="A13" s="78">
        <v>4</v>
      </c>
      <c r="B13" s="110" t="s">
        <v>53</v>
      </c>
      <c r="C13" s="97">
        <v>1</v>
      </c>
      <c r="D13" s="144">
        <v>7040</v>
      </c>
      <c r="E13" s="98">
        <v>1</v>
      </c>
      <c r="F13" s="144">
        <f t="shared" si="0"/>
        <v>7040</v>
      </c>
      <c r="G13" s="73"/>
      <c r="H13" s="144"/>
      <c r="I13" s="70"/>
      <c r="J13" s="79"/>
      <c r="K13" s="79"/>
      <c r="L13" s="73"/>
      <c r="M13" s="80"/>
      <c r="N13" s="73"/>
      <c r="O13" s="144">
        <v>3000</v>
      </c>
      <c r="P13" s="73">
        <v>0.5</v>
      </c>
      <c r="Q13" s="85">
        <f t="shared" si="10"/>
        <v>3520</v>
      </c>
      <c r="R13" s="144">
        <f t="shared" si="1"/>
        <v>13560</v>
      </c>
      <c r="S13" s="144">
        <f t="shared" si="2"/>
        <v>13560</v>
      </c>
      <c r="T13" s="144"/>
      <c r="U13" s="144"/>
      <c r="V13" s="144"/>
      <c r="W13" s="144">
        <f>(S13*3)+T13+U13+V13</f>
        <v>40680</v>
      </c>
      <c r="X13" s="144">
        <f>((S13*3)+T13+V13)*0.1725</f>
        <v>7017.2999999999993</v>
      </c>
      <c r="Y13" s="144">
        <f t="shared" si="6"/>
        <v>47697.3</v>
      </c>
    </row>
    <row r="14" spans="1:25">
      <c r="A14" s="78">
        <v>5</v>
      </c>
      <c r="B14" s="110" t="s">
        <v>54</v>
      </c>
      <c r="C14" s="97">
        <v>0.5</v>
      </c>
      <c r="D14" s="144">
        <v>7040</v>
      </c>
      <c r="E14" s="98">
        <v>1</v>
      </c>
      <c r="F14" s="144">
        <f>+D14*E14</f>
        <v>7040</v>
      </c>
      <c r="G14" s="73"/>
      <c r="H14" s="144">
        <f t="shared" si="7"/>
        <v>0</v>
      </c>
      <c r="I14" s="70"/>
      <c r="J14" s="79"/>
      <c r="K14" s="79"/>
      <c r="L14" s="73"/>
      <c r="M14" s="80"/>
      <c r="N14" s="73"/>
      <c r="O14" s="144">
        <v>3000</v>
      </c>
      <c r="P14" s="73">
        <v>0.25</v>
      </c>
      <c r="Q14" s="85">
        <f t="shared" si="10"/>
        <v>1760</v>
      </c>
      <c r="R14" s="144">
        <f>SUM(F14+H14+I14+M14+O14+Q14)</f>
        <v>11800</v>
      </c>
      <c r="S14" s="144">
        <f>R14*C14</f>
        <v>5900</v>
      </c>
      <c r="T14" s="144"/>
      <c r="U14" s="144"/>
      <c r="V14" s="144"/>
      <c r="W14" s="144">
        <f>(S14*3)+T14+U14+V14</f>
        <v>17700</v>
      </c>
      <c r="X14" s="144">
        <f>((S14*3)+T14+V14)*0.1725</f>
        <v>3053.2499999999995</v>
      </c>
      <c r="Y14" s="144">
        <f t="shared" si="6"/>
        <v>20753.25</v>
      </c>
    </row>
    <row r="15" spans="1:25">
      <c r="A15" s="125"/>
      <c r="B15" s="125" t="s">
        <v>31</v>
      </c>
      <c r="C15" s="82">
        <f>SUM(C10:C14)</f>
        <v>4.5</v>
      </c>
      <c r="D15" s="145">
        <f>SUM(D10:D14)</f>
        <v>35200</v>
      </c>
      <c r="E15" s="82"/>
      <c r="F15" s="145">
        <f t="shared" ref="F15:K15" si="11">SUM(F10:F14)</f>
        <v>41817.599999999999</v>
      </c>
      <c r="G15" s="82">
        <f t="shared" si="11"/>
        <v>0</v>
      </c>
      <c r="H15" s="145">
        <f t="shared" si="11"/>
        <v>0</v>
      </c>
      <c r="I15" s="82">
        <f t="shared" si="11"/>
        <v>0</v>
      </c>
      <c r="J15" s="82">
        <f t="shared" si="11"/>
        <v>0</v>
      </c>
      <c r="K15" s="82">
        <f t="shared" si="11"/>
        <v>0</v>
      </c>
      <c r="L15" s="82"/>
      <c r="M15" s="82">
        <f>SUM(M10:M14)</f>
        <v>0</v>
      </c>
      <c r="N15" s="82">
        <f>SUM(N10:N14)</f>
        <v>0</v>
      </c>
      <c r="O15" s="145">
        <f>SUM(O10:O14)</f>
        <v>26000</v>
      </c>
      <c r="P15" s="83"/>
      <c r="Q15" s="132">
        <f t="shared" ref="Q15:Y15" si="12">SUM(Q10:Q14)</f>
        <v>7040</v>
      </c>
      <c r="R15" s="145">
        <f t="shared" si="12"/>
        <v>74857.600000000006</v>
      </c>
      <c r="S15" s="145">
        <f t="shared" si="12"/>
        <v>68957.600000000006</v>
      </c>
      <c r="T15" s="145">
        <f t="shared" si="12"/>
        <v>55048.486891891887</v>
      </c>
      <c r="U15" s="145">
        <f t="shared" si="12"/>
        <v>98995.199999999997</v>
      </c>
      <c r="V15" s="145">
        <f t="shared" si="12"/>
        <v>57802.8848</v>
      </c>
      <c r="W15" s="145">
        <f t="shared" si="12"/>
        <v>616709.77169189183</v>
      </c>
      <c r="X15" s="145">
        <f t="shared" si="12"/>
        <v>89305.763616851342</v>
      </c>
      <c r="Y15" s="145">
        <f t="shared" si="12"/>
        <v>706015.53530874324</v>
      </c>
    </row>
    <row r="16" spans="1:25">
      <c r="A16" s="434" t="s">
        <v>355</v>
      </c>
      <c r="B16" s="435"/>
      <c r="C16" s="435"/>
      <c r="D16" s="435"/>
      <c r="E16" s="435"/>
      <c r="F16" s="435"/>
      <c r="G16" s="435"/>
      <c r="H16" s="435"/>
      <c r="I16" s="435"/>
      <c r="J16" s="435"/>
      <c r="K16" s="435"/>
      <c r="L16" s="435"/>
      <c r="M16" s="435"/>
      <c r="N16" s="435"/>
      <c r="O16" s="435"/>
      <c r="P16" s="435"/>
      <c r="Q16" s="435"/>
      <c r="R16" s="435"/>
      <c r="S16" s="435"/>
      <c r="T16" s="435"/>
      <c r="U16" s="435"/>
      <c r="V16" s="435"/>
      <c r="W16" s="435"/>
      <c r="X16" s="435"/>
      <c r="Y16" s="436"/>
    </row>
    <row r="17" spans="1:28">
      <c r="A17" s="78">
        <v>1</v>
      </c>
      <c r="B17" s="109" t="s">
        <v>34</v>
      </c>
      <c r="C17" s="97">
        <v>1</v>
      </c>
      <c r="D17" s="144">
        <v>7040</v>
      </c>
      <c r="E17" s="98">
        <v>1.85</v>
      </c>
      <c r="F17" s="144">
        <f t="shared" ref="F17:F20" si="13">+D17*E17</f>
        <v>13024</v>
      </c>
      <c r="G17" s="73"/>
      <c r="H17" s="144"/>
      <c r="I17" s="70"/>
      <c r="J17" s="73"/>
      <c r="K17" s="79"/>
      <c r="L17" s="73"/>
      <c r="M17" s="80"/>
      <c r="N17" s="73"/>
      <c r="O17" s="144">
        <v>8000</v>
      </c>
      <c r="P17" s="73"/>
      <c r="Q17" s="85"/>
      <c r="R17" s="144">
        <f t="shared" ref="R17:R20" si="14">SUM(F17+H17+I17+M17+O17+Q17)</f>
        <v>21024</v>
      </c>
      <c r="S17" s="144">
        <f t="shared" ref="S17:S20" si="15">R17*C17</f>
        <v>21024</v>
      </c>
      <c r="T17" s="85">
        <f t="shared" ref="T17:T19" si="16">(((S17+(S17*14.0135/12/12)))*3/3/29.6)*30</f>
        <v>23381.727364864866</v>
      </c>
      <c r="U17" s="144">
        <f t="shared" ref="U17:U19" si="17">+S17*2</f>
        <v>42048</v>
      </c>
      <c r="V17" s="85">
        <f t="shared" ref="V17:V19" si="18">(S17*14.0135)/12</f>
        <v>24551.652000000002</v>
      </c>
      <c r="W17" s="144">
        <f t="shared" ref="W17:W19" si="19">(S17*7)+T17+U17+V17</f>
        <v>237149.37936486487</v>
      </c>
      <c r="X17" s="144">
        <f t="shared" ref="X17:X19" si="20">((S17*7)+T17+V17)*0.1725</f>
        <v>33654.98794043919</v>
      </c>
      <c r="Y17" s="144">
        <f t="shared" ref="Y17:Y21" si="21">W17+X17</f>
        <v>270804.36730530404</v>
      </c>
    </row>
    <row r="18" spans="1:28">
      <c r="A18" s="78">
        <v>2</v>
      </c>
      <c r="B18" s="110" t="s">
        <v>35</v>
      </c>
      <c r="C18" s="97">
        <v>1</v>
      </c>
      <c r="D18" s="144">
        <v>7040</v>
      </c>
      <c r="E18" s="98">
        <v>1.2</v>
      </c>
      <c r="F18" s="144">
        <f t="shared" si="13"/>
        <v>8448</v>
      </c>
      <c r="G18" s="73"/>
      <c r="H18" s="144">
        <f t="shared" ref="H18:H19" si="22">F18*G18</f>
        <v>0</v>
      </c>
      <c r="I18" s="70"/>
      <c r="J18" s="70"/>
      <c r="K18" s="70"/>
      <c r="L18" s="73"/>
      <c r="M18" s="80"/>
      <c r="N18" s="73"/>
      <c r="O18" s="144">
        <v>8000</v>
      </c>
      <c r="P18" s="73"/>
      <c r="Q18" s="85"/>
      <c r="R18" s="144">
        <f t="shared" si="14"/>
        <v>16448</v>
      </c>
      <c r="S18" s="144">
        <f t="shared" si="15"/>
        <v>16448</v>
      </c>
      <c r="T18" s="85">
        <f t="shared" si="16"/>
        <v>18292.553828828826</v>
      </c>
      <c r="U18" s="144">
        <f t="shared" si="17"/>
        <v>32896</v>
      </c>
      <c r="V18" s="85">
        <f t="shared" si="18"/>
        <v>19207.837333333333</v>
      </c>
      <c r="W18" s="144">
        <f t="shared" si="19"/>
        <v>185532.39116216215</v>
      </c>
      <c r="X18" s="144">
        <f t="shared" si="20"/>
        <v>26329.777475472969</v>
      </c>
      <c r="Y18" s="144">
        <f t="shared" si="21"/>
        <v>211862.16863763513</v>
      </c>
    </row>
    <row r="19" spans="1:28">
      <c r="A19" s="78">
        <v>3</v>
      </c>
      <c r="B19" s="110" t="s">
        <v>36</v>
      </c>
      <c r="C19" s="97">
        <v>1</v>
      </c>
      <c r="D19" s="144">
        <v>7040</v>
      </c>
      <c r="E19" s="98">
        <v>1.2</v>
      </c>
      <c r="F19" s="144">
        <f t="shared" si="13"/>
        <v>8448</v>
      </c>
      <c r="G19" s="73"/>
      <c r="H19" s="144">
        <f t="shared" si="22"/>
        <v>0</v>
      </c>
      <c r="I19" s="70"/>
      <c r="J19" s="79"/>
      <c r="K19" s="79"/>
      <c r="L19" s="73"/>
      <c r="M19" s="80"/>
      <c r="N19" s="73"/>
      <c r="O19" s="144">
        <v>4000</v>
      </c>
      <c r="P19" s="73">
        <v>0.25</v>
      </c>
      <c r="Q19" s="85">
        <f t="shared" ref="Q19:Q21" si="23">+P19*F19</f>
        <v>2112</v>
      </c>
      <c r="R19" s="144">
        <f t="shared" si="14"/>
        <v>14560</v>
      </c>
      <c r="S19" s="144">
        <f t="shared" si="15"/>
        <v>14560</v>
      </c>
      <c r="T19" s="85">
        <f t="shared" si="16"/>
        <v>16192.824887387389</v>
      </c>
      <c r="U19" s="144">
        <f t="shared" si="17"/>
        <v>29120</v>
      </c>
      <c r="V19" s="85">
        <f t="shared" si="18"/>
        <v>17003.046666666665</v>
      </c>
      <c r="W19" s="144">
        <f t="shared" si="19"/>
        <v>164235.87155405406</v>
      </c>
      <c r="X19" s="144">
        <f t="shared" si="20"/>
        <v>23307.487843074323</v>
      </c>
      <c r="Y19" s="144">
        <f t="shared" si="21"/>
        <v>187543.35939712837</v>
      </c>
    </row>
    <row r="20" spans="1:28">
      <c r="A20" s="78">
        <v>4</v>
      </c>
      <c r="B20" s="110" t="s">
        <v>53</v>
      </c>
      <c r="C20" s="97">
        <v>1</v>
      </c>
      <c r="D20" s="144">
        <v>7040</v>
      </c>
      <c r="E20" s="98">
        <v>1.2</v>
      </c>
      <c r="F20" s="144">
        <f t="shared" si="13"/>
        <v>8448</v>
      </c>
      <c r="G20" s="73"/>
      <c r="H20" s="144"/>
      <c r="I20" s="70"/>
      <c r="J20" s="79"/>
      <c r="K20" s="79"/>
      <c r="L20" s="73"/>
      <c r="M20" s="80"/>
      <c r="N20" s="73"/>
      <c r="O20" s="144">
        <v>3000</v>
      </c>
      <c r="P20" s="73">
        <v>0.5</v>
      </c>
      <c r="Q20" s="85">
        <f t="shared" si="23"/>
        <v>4224</v>
      </c>
      <c r="R20" s="144">
        <f t="shared" si="14"/>
        <v>15672</v>
      </c>
      <c r="S20" s="144">
        <f t="shared" si="15"/>
        <v>15672</v>
      </c>
      <c r="T20" s="144"/>
      <c r="U20" s="144"/>
      <c r="V20" s="144"/>
      <c r="W20" s="144">
        <f t="shared" ref="W20:W21" si="24">(S20*3)+T20+U20+V20</f>
        <v>47016</v>
      </c>
      <c r="X20" s="144">
        <f t="shared" ref="X20:X21" si="25">((S20*3)+T20+V20)*0.1725</f>
        <v>8110.2599999999993</v>
      </c>
      <c r="Y20" s="144">
        <f t="shared" si="21"/>
        <v>55126.26</v>
      </c>
    </row>
    <row r="21" spans="1:28">
      <c r="A21" s="78">
        <v>5</v>
      </c>
      <c r="B21" s="110" t="s">
        <v>54</v>
      </c>
      <c r="C21" s="97">
        <v>0.5</v>
      </c>
      <c r="D21" s="144">
        <v>7040</v>
      </c>
      <c r="E21" s="98">
        <v>1.2</v>
      </c>
      <c r="F21" s="144">
        <f>+D21*E21</f>
        <v>8448</v>
      </c>
      <c r="G21" s="73"/>
      <c r="H21" s="144">
        <f t="shared" ref="H21" si="26">F21*G21</f>
        <v>0</v>
      </c>
      <c r="I21" s="70"/>
      <c r="J21" s="79"/>
      <c r="K21" s="79"/>
      <c r="L21" s="73"/>
      <c r="M21" s="80"/>
      <c r="N21" s="73"/>
      <c r="O21" s="144">
        <v>3000</v>
      </c>
      <c r="P21" s="73">
        <v>0.25</v>
      </c>
      <c r="Q21" s="85">
        <f t="shared" si="23"/>
        <v>2112</v>
      </c>
      <c r="R21" s="144">
        <f>SUM(F21+H21+I21+M21+O21+Q21)</f>
        <v>13560</v>
      </c>
      <c r="S21" s="144">
        <f>R21*C21</f>
        <v>6780</v>
      </c>
      <c r="T21" s="144"/>
      <c r="U21" s="144"/>
      <c r="V21" s="144"/>
      <c r="W21" s="144">
        <f t="shared" si="24"/>
        <v>20340</v>
      </c>
      <c r="X21" s="144">
        <f t="shared" si="25"/>
        <v>3508.6499999999996</v>
      </c>
      <c r="Y21" s="144">
        <f t="shared" si="21"/>
        <v>23848.65</v>
      </c>
    </row>
    <row r="22" spans="1:28">
      <c r="A22" s="125"/>
      <c r="B22" s="125" t="s">
        <v>31</v>
      </c>
      <c r="C22" s="82">
        <f>SUM(C17:C21)</f>
        <v>4.5</v>
      </c>
      <c r="D22" s="145">
        <f>SUM(D17:D21)</f>
        <v>35200</v>
      </c>
      <c r="E22" s="82"/>
      <c r="F22" s="145">
        <f t="shared" ref="F22:K22" si="27">SUM(F17:F21)</f>
        <v>46816</v>
      </c>
      <c r="G22" s="82">
        <f t="shared" si="27"/>
        <v>0</v>
      </c>
      <c r="H22" s="145">
        <f t="shared" si="27"/>
        <v>0</v>
      </c>
      <c r="I22" s="82">
        <f t="shared" si="27"/>
        <v>0</v>
      </c>
      <c r="J22" s="82">
        <f t="shared" si="27"/>
        <v>0</v>
      </c>
      <c r="K22" s="82">
        <f t="shared" si="27"/>
        <v>0</v>
      </c>
      <c r="L22" s="82"/>
      <c r="M22" s="82">
        <f>SUM(M17:M21)</f>
        <v>0</v>
      </c>
      <c r="N22" s="82">
        <f>SUM(N17:N21)</f>
        <v>0</v>
      </c>
      <c r="O22" s="145">
        <f>SUM(O17:O21)</f>
        <v>26000</v>
      </c>
      <c r="P22" s="83"/>
      <c r="Q22" s="132">
        <f t="shared" ref="Q22:Y22" si="28">SUM(Q17:Q21)</f>
        <v>8448</v>
      </c>
      <c r="R22" s="145">
        <f t="shared" si="28"/>
        <v>81264</v>
      </c>
      <c r="S22" s="145">
        <f t="shared" si="28"/>
        <v>74484</v>
      </c>
      <c r="T22" s="145">
        <f t="shared" si="28"/>
        <v>57867.106081081081</v>
      </c>
      <c r="U22" s="145">
        <f t="shared" si="28"/>
        <v>104064</v>
      </c>
      <c r="V22" s="145">
        <f t="shared" si="28"/>
        <v>60762.535999999993</v>
      </c>
      <c r="W22" s="145">
        <f t="shared" si="28"/>
        <v>654273.64208108105</v>
      </c>
      <c r="X22" s="145">
        <f t="shared" si="28"/>
        <v>94911.163258986475</v>
      </c>
      <c r="Y22" s="145">
        <f t="shared" si="28"/>
        <v>749184.8053400676</v>
      </c>
    </row>
    <row r="26" spans="1:28">
      <c r="B26" s="451" t="s">
        <v>530</v>
      </c>
      <c r="C26" s="450"/>
      <c r="D26" s="450"/>
      <c r="E26" s="450"/>
      <c r="F26" s="450"/>
      <c r="G26" s="450"/>
      <c r="H26" s="450"/>
      <c r="I26" s="450"/>
      <c r="J26" s="450"/>
      <c r="K26" s="450"/>
      <c r="L26" s="450"/>
      <c r="M26" s="450"/>
      <c r="N26" s="450"/>
      <c r="O26" s="450"/>
      <c r="P26" s="450"/>
      <c r="Q26" s="450"/>
      <c r="R26" s="450"/>
      <c r="S26" s="450"/>
      <c r="T26" s="450"/>
      <c r="U26" s="450"/>
      <c r="V26" s="450"/>
      <c r="W26" s="450"/>
      <c r="X26" s="450"/>
      <c r="Y26" s="450"/>
      <c r="Z26" s="450"/>
      <c r="AA26" s="450"/>
      <c r="AB26" s="450"/>
    </row>
  </sheetData>
  <mergeCells count="26">
    <mergeCell ref="B26:AB26"/>
    <mergeCell ref="X1:Y1"/>
    <mergeCell ref="X5:X6"/>
    <mergeCell ref="Y5:Y6"/>
    <mergeCell ref="A9:Y9"/>
    <mergeCell ref="A16:Y16"/>
    <mergeCell ref="A3:Y3"/>
    <mergeCell ref="A4:T4"/>
    <mergeCell ref="A5:A7"/>
    <mergeCell ref="B5:B7"/>
    <mergeCell ref="C5:C7"/>
    <mergeCell ref="D5:D7"/>
    <mergeCell ref="E5:E7"/>
    <mergeCell ref="F5:F7"/>
    <mergeCell ref="G5:Q5"/>
    <mergeCell ref="U5:U6"/>
    <mergeCell ref="V5:V6"/>
    <mergeCell ref="W5:W6"/>
    <mergeCell ref="R5:R6"/>
    <mergeCell ref="S5:S6"/>
    <mergeCell ref="T5:T6"/>
    <mergeCell ref="G6:H6"/>
    <mergeCell ref="J6:K6"/>
    <mergeCell ref="L6:M6"/>
    <mergeCell ref="N6:O6"/>
    <mergeCell ref="P6:Q6"/>
  </mergeCells>
  <pageMargins left="0" right="0" top="0.74803149606299213" bottom="0.74803149606299213" header="0.31496062992125984" footer="0.31496062992125984"/>
  <pageSetup paperSize="9" scale="89" fitToHeight="0" orientation="landscape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C000"/>
    <pageSetUpPr fitToPage="1"/>
  </sheetPr>
  <dimension ref="A1:AB22"/>
  <sheetViews>
    <sheetView view="pageBreakPreview" zoomScaleNormal="85" zoomScaleSheetLayoutView="100" workbookViewId="0">
      <selection activeCell="S17" sqref="S17:AA18"/>
    </sheetView>
  </sheetViews>
  <sheetFormatPr defaultColWidth="9.140625" defaultRowHeight="12.75"/>
  <cols>
    <col min="1" max="1" width="3.28515625" style="64" bestFit="1" customWidth="1"/>
    <col min="2" max="2" width="20.5703125" style="64" customWidth="1"/>
    <col min="3" max="3" width="4" style="64" customWidth="1"/>
    <col min="4" max="4" width="7.140625" style="64" customWidth="1"/>
    <col min="5" max="5" width="4.7109375" style="64" customWidth="1"/>
    <col min="6" max="6" width="7.85546875" style="64" customWidth="1"/>
    <col min="7" max="7" width="5.28515625" style="64" customWidth="1"/>
    <col min="8" max="8" width="8.140625" style="64" customWidth="1"/>
    <col min="9" max="9" width="8" style="64" hidden="1" customWidth="1"/>
    <col min="10" max="10" width="5.85546875" style="64" hidden="1" customWidth="1"/>
    <col min="11" max="11" width="7.42578125" style="64" hidden="1" customWidth="1"/>
    <col min="12" max="12" width="5.140625" style="64" hidden="1" customWidth="1"/>
    <col min="13" max="13" width="8.5703125" style="64" hidden="1" customWidth="1"/>
    <col min="14" max="14" width="7.85546875" style="64" hidden="1" customWidth="1"/>
    <col min="15" max="15" width="8.7109375" style="64" hidden="1" customWidth="1"/>
    <col min="16" max="16" width="4.85546875" style="64" customWidth="1"/>
    <col min="17" max="17" width="6.7109375" style="64" customWidth="1"/>
    <col min="18" max="18" width="7.7109375" style="64" customWidth="1"/>
    <col min="19" max="19" width="7.42578125" style="64" customWidth="1"/>
    <col min="20" max="20" width="8" style="64" customWidth="1"/>
    <col min="21" max="21" width="9.140625" style="64" hidden="1" customWidth="1"/>
    <col min="22" max="22" width="7.42578125" style="64" hidden="1" customWidth="1"/>
    <col min="23" max="23" width="8.42578125" style="64" hidden="1" customWidth="1"/>
    <col min="24" max="24" width="5.42578125" style="64" hidden="1" customWidth="1"/>
    <col min="25" max="25" width="8.140625" style="64" customWidth="1"/>
    <col min="26" max="26" width="7.7109375" style="64" customWidth="1"/>
    <col min="27" max="27" width="10" style="64" customWidth="1"/>
    <col min="28" max="16384" width="9.140625" style="64"/>
  </cols>
  <sheetData>
    <row r="1" spans="1:27" s="5" customFormat="1" ht="67.150000000000006" customHeight="1">
      <c r="L1" s="4"/>
      <c r="W1" s="4"/>
      <c r="Z1" s="399" t="s">
        <v>534</v>
      </c>
      <c r="AA1" s="399"/>
    </row>
    <row r="2" spans="1:27" s="5" customFormat="1">
      <c r="X2" s="13"/>
    </row>
    <row r="3" spans="1:27" s="5" customFormat="1">
      <c r="A3" s="442" t="s">
        <v>159</v>
      </c>
      <c r="B3" s="442"/>
      <c r="C3" s="442"/>
      <c r="D3" s="442"/>
      <c r="E3" s="442"/>
      <c r="F3" s="442"/>
      <c r="G3" s="442"/>
      <c r="H3" s="442"/>
      <c r="I3" s="442"/>
      <c r="J3" s="442"/>
      <c r="K3" s="442"/>
      <c r="L3" s="442"/>
      <c r="M3" s="442"/>
      <c r="N3" s="442"/>
      <c r="O3" s="442"/>
      <c r="P3" s="442"/>
      <c r="Q3" s="442"/>
      <c r="R3" s="442"/>
      <c r="S3" s="442"/>
      <c r="T3" s="442"/>
      <c r="U3" s="442"/>
      <c r="V3" s="442"/>
      <c r="W3" s="442"/>
      <c r="X3" s="442"/>
      <c r="Y3" s="442"/>
      <c r="Z3" s="442"/>
      <c r="AA3" s="442"/>
    </row>
    <row r="4" spans="1:27" ht="40.9" customHeight="1"/>
    <row r="5" spans="1:27" ht="28.9" customHeight="1">
      <c r="A5" s="441" t="s">
        <v>0</v>
      </c>
      <c r="B5" s="441" t="s">
        <v>20</v>
      </c>
      <c r="C5" s="441" t="s">
        <v>21</v>
      </c>
      <c r="D5" s="441" t="s">
        <v>22</v>
      </c>
      <c r="E5" s="441" t="s">
        <v>103</v>
      </c>
      <c r="F5" s="443" t="s">
        <v>23</v>
      </c>
      <c r="G5" s="434" t="s">
        <v>104</v>
      </c>
      <c r="H5" s="435"/>
      <c r="I5" s="435"/>
      <c r="J5" s="435"/>
      <c r="K5" s="435"/>
      <c r="L5" s="435"/>
      <c r="M5" s="435"/>
      <c r="N5" s="435"/>
      <c r="O5" s="435"/>
      <c r="P5" s="435"/>
      <c r="Q5" s="436"/>
      <c r="R5" s="441" t="s">
        <v>28</v>
      </c>
      <c r="S5" s="437" t="s">
        <v>166</v>
      </c>
      <c r="T5" s="441" t="s">
        <v>105</v>
      </c>
      <c r="U5" s="441" t="s">
        <v>106</v>
      </c>
      <c r="V5" s="441" t="s">
        <v>107</v>
      </c>
      <c r="W5" s="441" t="s">
        <v>108</v>
      </c>
      <c r="X5" s="437" t="s">
        <v>109</v>
      </c>
      <c r="Y5" s="437" t="s">
        <v>110</v>
      </c>
      <c r="Z5" s="437" t="s">
        <v>111</v>
      </c>
      <c r="AA5" s="437" t="s">
        <v>112</v>
      </c>
    </row>
    <row r="6" spans="1:27" ht="79.900000000000006" customHeight="1">
      <c r="A6" s="441"/>
      <c r="B6" s="441"/>
      <c r="C6" s="441"/>
      <c r="D6" s="441"/>
      <c r="E6" s="441"/>
      <c r="F6" s="443"/>
      <c r="G6" s="441" t="s">
        <v>85</v>
      </c>
      <c r="H6" s="441"/>
      <c r="I6" s="127" t="s">
        <v>25</v>
      </c>
      <c r="J6" s="441" t="s">
        <v>24</v>
      </c>
      <c r="K6" s="441"/>
      <c r="L6" s="444" t="s">
        <v>134</v>
      </c>
      <c r="M6" s="445"/>
      <c r="N6" s="441" t="s">
        <v>26</v>
      </c>
      <c r="O6" s="441"/>
      <c r="P6" s="439" t="s">
        <v>115</v>
      </c>
      <c r="Q6" s="440"/>
      <c r="R6" s="441"/>
      <c r="S6" s="438"/>
      <c r="T6" s="441"/>
      <c r="U6" s="441"/>
      <c r="V6" s="441"/>
      <c r="W6" s="441"/>
      <c r="X6" s="438"/>
      <c r="Y6" s="438"/>
      <c r="Z6" s="438"/>
      <c r="AA6" s="438"/>
    </row>
    <row r="7" spans="1:27">
      <c r="A7" s="441"/>
      <c r="B7" s="441"/>
      <c r="C7" s="441"/>
      <c r="D7" s="441"/>
      <c r="E7" s="441"/>
      <c r="F7" s="443"/>
      <c r="G7" s="125" t="s">
        <v>3</v>
      </c>
      <c r="H7" s="125" t="s">
        <v>29</v>
      </c>
      <c r="I7" s="125" t="s">
        <v>29</v>
      </c>
      <c r="J7" s="125" t="s">
        <v>3</v>
      </c>
      <c r="K7" s="125" t="s">
        <v>29</v>
      </c>
      <c r="L7" s="125" t="s">
        <v>3</v>
      </c>
      <c r="M7" s="125" t="s">
        <v>29</v>
      </c>
      <c r="N7" s="125" t="s">
        <v>3</v>
      </c>
      <c r="O7" s="125" t="s">
        <v>29</v>
      </c>
      <c r="P7" s="125" t="s">
        <v>3</v>
      </c>
      <c r="Q7" s="125" t="s">
        <v>29</v>
      </c>
      <c r="R7" s="125" t="s">
        <v>29</v>
      </c>
      <c r="S7" s="125" t="s">
        <v>29</v>
      </c>
      <c r="T7" s="125" t="s">
        <v>29</v>
      </c>
      <c r="U7" s="125" t="s">
        <v>29</v>
      </c>
      <c r="V7" s="125"/>
      <c r="W7" s="125" t="s">
        <v>29</v>
      </c>
      <c r="X7" s="125"/>
      <c r="Y7" s="125" t="s">
        <v>29</v>
      </c>
      <c r="Z7" s="125" t="s">
        <v>29</v>
      </c>
      <c r="AA7" s="125" t="s">
        <v>29</v>
      </c>
    </row>
    <row r="8" spans="1:27">
      <c r="A8" s="125">
        <v>1</v>
      </c>
      <c r="B8" s="125">
        <v>2</v>
      </c>
      <c r="C8" s="125">
        <v>3</v>
      </c>
      <c r="D8" s="125">
        <v>4</v>
      </c>
      <c r="E8" s="125">
        <v>5</v>
      </c>
      <c r="F8" s="125">
        <v>6</v>
      </c>
      <c r="G8" s="125">
        <v>7</v>
      </c>
      <c r="H8" s="125">
        <v>8</v>
      </c>
      <c r="I8" s="125">
        <v>9</v>
      </c>
      <c r="J8" s="125">
        <v>10</v>
      </c>
      <c r="K8" s="125">
        <v>11</v>
      </c>
      <c r="L8" s="125">
        <v>12</v>
      </c>
      <c r="M8" s="125">
        <v>13</v>
      </c>
      <c r="N8" s="125">
        <v>14</v>
      </c>
      <c r="O8" s="125">
        <v>15</v>
      </c>
      <c r="P8" s="125">
        <v>9</v>
      </c>
      <c r="Q8" s="125">
        <v>10</v>
      </c>
      <c r="R8" s="125">
        <v>11</v>
      </c>
      <c r="S8" s="125">
        <v>12</v>
      </c>
      <c r="T8" s="125">
        <v>13</v>
      </c>
      <c r="U8" s="125">
        <v>21</v>
      </c>
      <c r="V8" s="126" t="s">
        <v>116</v>
      </c>
      <c r="W8" s="126" t="s">
        <v>131</v>
      </c>
      <c r="X8" s="126" t="s">
        <v>132</v>
      </c>
      <c r="Y8" s="126" t="s">
        <v>160</v>
      </c>
      <c r="Z8" s="126" t="s">
        <v>140</v>
      </c>
      <c r="AA8" s="126"/>
    </row>
    <row r="9" spans="1:27">
      <c r="A9" s="434" t="s">
        <v>354</v>
      </c>
      <c r="B9" s="435"/>
      <c r="C9" s="435"/>
      <c r="D9" s="435"/>
      <c r="E9" s="435"/>
      <c r="F9" s="435"/>
      <c r="G9" s="435"/>
      <c r="H9" s="435"/>
      <c r="I9" s="435"/>
      <c r="J9" s="435"/>
      <c r="K9" s="435"/>
      <c r="L9" s="435"/>
      <c r="M9" s="435"/>
      <c r="N9" s="435"/>
      <c r="O9" s="435"/>
      <c r="P9" s="435"/>
      <c r="Q9" s="435"/>
      <c r="R9" s="435"/>
      <c r="S9" s="435"/>
      <c r="T9" s="435"/>
      <c r="U9" s="435"/>
      <c r="V9" s="435"/>
      <c r="W9" s="435"/>
      <c r="X9" s="435"/>
      <c r="Y9" s="435"/>
      <c r="Z9" s="435"/>
      <c r="AA9" s="436"/>
    </row>
    <row r="10" spans="1:27">
      <c r="A10" s="78">
        <v>1</v>
      </c>
      <c r="B10" s="111" t="s">
        <v>66</v>
      </c>
      <c r="C10" s="97">
        <v>1</v>
      </c>
      <c r="D10" s="144">
        <v>7040</v>
      </c>
      <c r="E10" s="104">
        <v>1</v>
      </c>
      <c r="F10" s="144">
        <f t="shared" ref="F10" si="0">+D10*E10</f>
        <v>7040</v>
      </c>
      <c r="G10" s="73"/>
      <c r="H10" s="144">
        <f t="shared" ref="H10" si="1">F10*G10</f>
        <v>0</v>
      </c>
      <c r="I10" s="70"/>
      <c r="J10" s="79"/>
      <c r="K10" s="79"/>
      <c r="L10" s="73"/>
      <c r="M10" s="80"/>
      <c r="N10" s="73"/>
      <c r="O10" s="80">
        <f>+F10*N10</f>
        <v>0</v>
      </c>
      <c r="P10" s="73">
        <v>0.25</v>
      </c>
      <c r="Q10" s="85">
        <f>+F10*P10</f>
        <v>1760</v>
      </c>
      <c r="R10" s="144">
        <f>+F10+H10+O10+Q10</f>
        <v>8800</v>
      </c>
      <c r="S10" s="144">
        <f>R10*C10</f>
        <v>8800</v>
      </c>
      <c r="T10" s="85">
        <f>(((S10+(S10*14.0135/12/12)))*3/3/29.6)*28</f>
        <v>9134.4140390390385</v>
      </c>
      <c r="U10" s="144"/>
      <c r="V10" s="144"/>
      <c r="W10" s="144"/>
      <c r="X10" s="144"/>
      <c r="Y10" s="144">
        <f>(S10*7)+T10+U10+W10</f>
        <v>70734.414039039038</v>
      </c>
      <c r="Z10" s="144">
        <f>((S10*7)+T10+W10)*0.1725</f>
        <v>12201.686421734234</v>
      </c>
      <c r="AA10" s="144">
        <f>Y10+Z10+X10</f>
        <v>82936.100460773276</v>
      </c>
    </row>
    <row r="11" spans="1:27">
      <c r="A11" s="125"/>
      <c r="B11" s="125" t="s">
        <v>31</v>
      </c>
      <c r="C11" s="82">
        <f>SUM(C10:C10)</f>
        <v>1</v>
      </c>
      <c r="D11" s="145">
        <f>SUM(D10:D10)</f>
        <v>7040</v>
      </c>
      <c r="E11" s="82"/>
      <c r="F11" s="145">
        <f t="shared" ref="F11:K11" si="2">SUM(F10:F10)</f>
        <v>7040</v>
      </c>
      <c r="G11" s="82"/>
      <c r="H11" s="145">
        <f t="shared" si="2"/>
        <v>0</v>
      </c>
      <c r="I11" s="82">
        <f t="shared" si="2"/>
        <v>0</v>
      </c>
      <c r="J11" s="82">
        <f t="shared" si="2"/>
        <v>0</v>
      </c>
      <c r="K11" s="82">
        <f t="shared" si="2"/>
        <v>0</v>
      </c>
      <c r="L11" s="82"/>
      <c r="M11" s="82">
        <f t="shared" ref="M11:AA11" si="3">SUM(M10:M10)</f>
        <v>0</v>
      </c>
      <c r="N11" s="82">
        <f t="shared" si="3"/>
        <v>0</v>
      </c>
      <c r="O11" s="83">
        <f t="shared" si="3"/>
        <v>0</v>
      </c>
      <c r="P11" s="83"/>
      <c r="Q11" s="132">
        <f t="shared" si="3"/>
        <v>1760</v>
      </c>
      <c r="R11" s="145">
        <f t="shared" si="3"/>
        <v>8800</v>
      </c>
      <c r="S11" s="145">
        <f t="shared" si="3"/>
        <v>8800</v>
      </c>
      <c r="T11" s="145">
        <f t="shared" si="3"/>
        <v>9134.4140390390385</v>
      </c>
      <c r="U11" s="145">
        <f t="shared" si="3"/>
        <v>0</v>
      </c>
      <c r="V11" s="145">
        <f t="shared" si="3"/>
        <v>0</v>
      </c>
      <c r="W11" s="145">
        <f t="shared" si="3"/>
        <v>0</v>
      </c>
      <c r="X11" s="145">
        <f t="shared" si="3"/>
        <v>0</v>
      </c>
      <c r="Y11" s="145">
        <f t="shared" si="3"/>
        <v>70734.414039039038</v>
      </c>
      <c r="Z11" s="145">
        <f t="shared" si="3"/>
        <v>12201.686421734234</v>
      </c>
      <c r="AA11" s="145">
        <f t="shared" si="3"/>
        <v>82936.100460773276</v>
      </c>
    </row>
    <row r="12" spans="1:27">
      <c r="A12" s="434" t="s">
        <v>355</v>
      </c>
      <c r="B12" s="435"/>
      <c r="C12" s="435"/>
      <c r="D12" s="435"/>
      <c r="E12" s="435"/>
      <c r="F12" s="435"/>
      <c r="G12" s="435"/>
      <c r="H12" s="435"/>
      <c r="I12" s="435"/>
      <c r="J12" s="435"/>
      <c r="K12" s="435"/>
      <c r="L12" s="435"/>
      <c r="M12" s="435"/>
      <c r="N12" s="435"/>
      <c r="O12" s="435"/>
      <c r="P12" s="435"/>
      <c r="Q12" s="435"/>
      <c r="R12" s="435"/>
      <c r="S12" s="435"/>
      <c r="T12" s="435"/>
      <c r="U12" s="435"/>
      <c r="V12" s="435"/>
      <c r="W12" s="435"/>
      <c r="X12" s="435"/>
      <c r="Y12" s="435"/>
      <c r="Z12" s="435"/>
      <c r="AA12" s="436"/>
    </row>
    <row r="13" spans="1:27">
      <c r="A13" s="78">
        <v>1</v>
      </c>
      <c r="B13" s="111" t="s">
        <v>66</v>
      </c>
      <c r="C13" s="97">
        <v>1</v>
      </c>
      <c r="D13" s="144">
        <v>7040</v>
      </c>
      <c r="E13" s="104">
        <v>1.2</v>
      </c>
      <c r="F13" s="144">
        <f t="shared" ref="F13" si="4">+D13*E13</f>
        <v>8448</v>
      </c>
      <c r="G13" s="73"/>
      <c r="H13" s="144">
        <f t="shared" ref="H13" si="5">F13*G13</f>
        <v>0</v>
      </c>
      <c r="I13" s="70"/>
      <c r="J13" s="79"/>
      <c r="K13" s="79"/>
      <c r="L13" s="73"/>
      <c r="M13" s="80"/>
      <c r="N13" s="73"/>
      <c r="O13" s="80">
        <f>+F13*N13</f>
        <v>0</v>
      </c>
      <c r="P13" s="73">
        <v>0.25</v>
      </c>
      <c r="Q13" s="85">
        <f>+F13*P13</f>
        <v>2112</v>
      </c>
      <c r="R13" s="144">
        <f>+F13+H13+O13+Q13</f>
        <v>10560</v>
      </c>
      <c r="S13" s="144">
        <f>R13*C13</f>
        <v>10560</v>
      </c>
      <c r="T13" s="85">
        <f>(((S13+(S13*14.0135/12/12)))*3/3/29.6)*28</f>
        <v>10961.296846846848</v>
      </c>
      <c r="U13" s="144"/>
      <c r="V13" s="144"/>
      <c r="W13" s="144"/>
      <c r="X13" s="144"/>
      <c r="Y13" s="144">
        <f>(S13*7)+T13+U13+W13</f>
        <v>84881.296846846846</v>
      </c>
      <c r="Z13" s="144">
        <f>((S13*7)+T13+W13)*0.1725</f>
        <v>14642.02370608108</v>
      </c>
      <c r="AA13" s="144">
        <f>Y13+Z13+X13</f>
        <v>99523.320552927922</v>
      </c>
    </row>
    <row r="14" spans="1:27">
      <c r="A14" s="125"/>
      <c r="B14" s="125" t="s">
        <v>31</v>
      </c>
      <c r="C14" s="82">
        <f>SUM(C13:C13)</f>
        <v>1</v>
      </c>
      <c r="D14" s="145">
        <f>SUM(D13:D13)</f>
        <v>7040</v>
      </c>
      <c r="E14" s="82"/>
      <c r="F14" s="145">
        <f t="shared" ref="F14" si="6">SUM(F13:F13)</f>
        <v>8448</v>
      </c>
      <c r="G14" s="82"/>
      <c r="H14" s="145">
        <f t="shared" ref="H14:K14" si="7">SUM(H13:H13)</f>
        <v>0</v>
      </c>
      <c r="I14" s="82">
        <f t="shared" si="7"/>
        <v>0</v>
      </c>
      <c r="J14" s="82">
        <f t="shared" si="7"/>
        <v>0</v>
      </c>
      <c r="K14" s="82">
        <f t="shared" si="7"/>
        <v>0</v>
      </c>
      <c r="L14" s="82"/>
      <c r="M14" s="82">
        <f t="shared" ref="M14:O14" si="8">SUM(M13:M13)</f>
        <v>0</v>
      </c>
      <c r="N14" s="82">
        <f t="shared" si="8"/>
        <v>0</v>
      </c>
      <c r="O14" s="83">
        <f t="shared" si="8"/>
        <v>0</v>
      </c>
      <c r="P14" s="83"/>
      <c r="Q14" s="132">
        <f t="shared" ref="Q14:AA14" si="9">SUM(Q13:Q13)</f>
        <v>2112</v>
      </c>
      <c r="R14" s="145">
        <f t="shared" si="9"/>
        <v>10560</v>
      </c>
      <c r="S14" s="145">
        <f t="shared" si="9"/>
        <v>10560</v>
      </c>
      <c r="T14" s="145">
        <f t="shared" si="9"/>
        <v>10961.296846846848</v>
      </c>
      <c r="U14" s="145">
        <f t="shared" si="9"/>
        <v>0</v>
      </c>
      <c r="V14" s="145">
        <f t="shared" si="9"/>
        <v>0</v>
      </c>
      <c r="W14" s="145">
        <f t="shared" si="9"/>
        <v>0</v>
      </c>
      <c r="X14" s="145">
        <f t="shared" si="9"/>
        <v>0</v>
      </c>
      <c r="Y14" s="145">
        <f t="shared" si="9"/>
        <v>84881.296846846846</v>
      </c>
      <c r="Z14" s="145">
        <f t="shared" si="9"/>
        <v>14642.02370608108</v>
      </c>
      <c r="AA14" s="145">
        <f t="shared" si="9"/>
        <v>99523.320552927922</v>
      </c>
    </row>
    <row r="15" spans="1:27">
      <c r="B15" s="2"/>
    </row>
    <row r="22" spans="2:28">
      <c r="B22" s="451" t="s">
        <v>530</v>
      </c>
      <c r="C22" s="450"/>
      <c r="D22" s="450"/>
      <c r="E22" s="450"/>
      <c r="F22" s="450"/>
      <c r="G22" s="450"/>
      <c r="H22" s="450"/>
      <c r="I22" s="450"/>
      <c r="J22" s="450"/>
      <c r="K22" s="450"/>
      <c r="L22" s="450"/>
      <c r="M22" s="450"/>
      <c r="N22" s="450"/>
      <c r="O22" s="450"/>
      <c r="P22" s="450"/>
      <c r="Q22" s="450"/>
      <c r="R22" s="450"/>
      <c r="S22" s="450"/>
      <c r="T22" s="450"/>
      <c r="U22" s="450"/>
      <c r="V22" s="450"/>
      <c r="W22" s="450"/>
      <c r="X22" s="450"/>
      <c r="Y22" s="450"/>
      <c r="Z22" s="450"/>
      <c r="AA22" s="450"/>
      <c r="AB22" s="450"/>
    </row>
  </sheetData>
  <mergeCells count="27">
    <mergeCell ref="B22:AB22"/>
    <mergeCell ref="Z1:AA1"/>
    <mergeCell ref="A3:AA3"/>
    <mergeCell ref="A5:A7"/>
    <mergeCell ref="B5:B7"/>
    <mergeCell ref="C5:C7"/>
    <mergeCell ref="D5:D7"/>
    <mergeCell ref="E5:E7"/>
    <mergeCell ref="F5:F7"/>
    <mergeCell ref="G5:Q5"/>
    <mergeCell ref="G6:H6"/>
    <mergeCell ref="J6:K6"/>
    <mergeCell ref="L6:M6"/>
    <mergeCell ref="N6:O6"/>
    <mergeCell ref="P6:Q6"/>
    <mergeCell ref="R5:R6"/>
    <mergeCell ref="S5:S6"/>
    <mergeCell ref="T5:T6"/>
    <mergeCell ref="A9:AA9"/>
    <mergeCell ref="A12:AA12"/>
    <mergeCell ref="Z5:Z6"/>
    <mergeCell ref="AA5:AA6"/>
    <mergeCell ref="U5:U6"/>
    <mergeCell ref="V5:V6"/>
    <mergeCell ref="W5:W6"/>
    <mergeCell ref="X5:X6"/>
    <mergeCell ref="Y5:Y6"/>
  </mergeCells>
  <pageMargins left="0.78740157480314965" right="0" top="0.74803149606299213" bottom="0.74803149606299213" header="0.31496062992125984" footer="0.31496062992125984"/>
  <pageSetup paperSize="9" fitToHeight="0" orientation="landscape" verticalDpi="36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E7378-B611-4C6D-9520-9D9CE83CC8DF}">
  <dimension ref="A1"/>
  <sheetViews>
    <sheetView tabSelected="1" workbookViewId="0">
      <selection activeCell="R39" sqref="R39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C25" sqref="C25"/>
    </sheetView>
  </sheetViews>
  <sheetFormatPr defaultColWidth="9.140625" defaultRowHeight="12.75"/>
  <cols>
    <col min="1" max="1" width="3" bestFit="1" customWidth="1"/>
    <col min="2" max="2" width="31.42578125" customWidth="1"/>
    <col min="3" max="3" width="9" bestFit="1" customWidth="1"/>
    <col min="4" max="4" width="18.42578125" hidden="1" customWidth="1"/>
    <col min="5" max="6" width="12.5703125" hidden="1" customWidth="1"/>
    <col min="7" max="7" width="12.5703125" customWidth="1"/>
    <col min="8" max="9" width="12.140625" hidden="1" customWidth="1"/>
    <col min="10" max="10" width="13" hidden="1" customWidth="1"/>
    <col min="11" max="11" width="11.5703125" hidden="1" customWidth="1"/>
    <col min="12" max="12" width="9.42578125" hidden="1" customWidth="1"/>
    <col min="13" max="13" width="12.140625" customWidth="1"/>
    <col min="14" max="14" width="43.5703125" customWidth="1"/>
  </cols>
  <sheetData>
    <row r="1" spans="1:14">
      <c r="M1" s="22"/>
      <c r="N1" s="3"/>
    </row>
    <row r="2" spans="1:14">
      <c r="N2" s="21"/>
    </row>
    <row r="3" spans="1:14" ht="27" customHeight="1">
      <c r="A3" s="375" t="s">
        <v>189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76"/>
    </row>
    <row r="4" spans="1:14" ht="54" customHeight="1">
      <c r="A4" s="160" t="s">
        <v>0</v>
      </c>
      <c r="B4" s="160" t="s">
        <v>17</v>
      </c>
      <c r="C4" s="160" t="s">
        <v>161</v>
      </c>
      <c r="D4" s="19" t="s">
        <v>174</v>
      </c>
      <c r="E4" s="19" t="s">
        <v>175</v>
      </c>
      <c r="F4" s="19" t="s">
        <v>176</v>
      </c>
      <c r="G4" s="19" t="s">
        <v>182</v>
      </c>
      <c r="H4" s="19" t="s">
        <v>177</v>
      </c>
      <c r="I4" s="19" t="s">
        <v>178</v>
      </c>
      <c r="J4" s="19" t="s">
        <v>179</v>
      </c>
      <c r="K4" s="19" t="s">
        <v>180</v>
      </c>
      <c r="L4" s="19" t="s">
        <v>181</v>
      </c>
      <c r="M4" s="19" t="s">
        <v>183</v>
      </c>
      <c r="N4" s="160" t="s">
        <v>162</v>
      </c>
    </row>
    <row r="5" spans="1:14">
      <c r="A5" s="24">
        <v>1</v>
      </c>
      <c r="B5" s="24">
        <v>2</v>
      </c>
      <c r="C5" s="24">
        <v>3</v>
      </c>
      <c r="D5" s="24">
        <v>4</v>
      </c>
      <c r="E5" s="24"/>
      <c r="F5" s="24"/>
      <c r="G5" s="24">
        <v>4</v>
      </c>
      <c r="H5" s="24">
        <v>5</v>
      </c>
      <c r="I5" s="24"/>
      <c r="J5" s="24">
        <v>6</v>
      </c>
      <c r="K5" s="24">
        <v>7</v>
      </c>
      <c r="L5" s="24">
        <v>8</v>
      </c>
      <c r="M5" s="24">
        <v>5</v>
      </c>
      <c r="N5" s="24">
        <v>6</v>
      </c>
    </row>
    <row r="6" spans="1:14">
      <c r="A6" s="368">
        <v>1</v>
      </c>
      <c r="B6" s="368" t="s">
        <v>228</v>
      </c>
      <c r="C6" s="18">
        <v>2215</v>
      </c>
      <c r="D6" s="160"/>
      <c r="E6" s="160"/>
      <c r="F6" s="160"/>
      <c r="G6" s="222"/>
      <c r="H6" s="223"/>
      <c r="I6" s="223"/>
      <c r="J6" s="223"/>
      <c r="K6" s="223"/>
      <c r="L6" s="223"/>
      <c r="M6" s="222">
        <v>259</v>
      </c>
      <c r="N6" s="379" t="s">
        <v>275</v>
      </c>
    </row>
    <row r="7" spans="1:14">
      <c r="A7" s="371"/>
      <c r="B7" s="371"/>
      <c r="C7" s="18">
        <v>2822</v>
      </c>
      <c r="D7" s="160"/>
      <c r="E7" s="160"/>
      <c r="F7" s="160"/>
      <c r="G7" s="222">
        <v>259</v>
      </c>
      <c r="H7" s="223"/>
      <c r="I7" s="223"/>
      <c r="J7" s="223"/>
      <c r="K7" s="223"/>
      <c r="L7" s="223"/>
      <c r="M7" s="222"/>
      <c r="N7" s="380"/>
    </row>
    <row r="8" spans="1:14">
      <c r="A8" s="368">
        <v>2</v>
      </c>
      <c r="B8" s="368" t="s">
        <v>295</v>
      </c>
      <c r="C8" s="18">
        <v>14238900</v>
      </c>
      <c r="D8" s="160"/>
      <c r="E8" s="160"/>
      <c r="F8" s="160"/>
      <c r="G8" s="222"/>
      <c r="H8" s="223"/>
      <c r="I8" s="223"/>
      <c r="J8" s="223"/>
      <c r="K8" s="223"/>
      <c r="L8" s="223"/>
      <c r="M8" s="222">
        <v>4582</v>
      </c>
      <c r="N8" s="76" t="s">
        <v>283</v>
      </c>
    </row>
    <row r="9" spans="1:14">
      <c r="A9" s="371"/>
      <c r="B9" s="371"/>
      <c r="C9" s="18">
        <v>3112</v>
      </c>
      <c r="D9" s="160"/>
      <c r="E9" s="160"/>
      <c r="F9" s="160"/>
      <c r="G9" s="222">
        <v>4582</v>
      </c>
      <c r="H9" s="223"/>
      <c r="I9" s="223"/>
      <c r="J9" s="223"/>
      <c r="K9" s="223"/>
      <c r="L9" s="223"/>
      <c r="M9" s="222"/>
      <c r="N9" s="76" t="s">
        <v>294</v>
      </c>
    </row>
    <row r="10" spans="1:14">
      <c r="A10" s="368">
        <v>3</v>
      </c>
      <c r="B10" s="368" t="s">
        <v>321</v>
      </c>
      <c r="C10" s="18">
        <v>14238900</v>
      </c>
      <c r="D10" s="160"/>
      <c r="E10" s="160"/>
      <c r="F10" s="160"/>
      <c r="G10" s="222">
        <v>18100</v>
      </c>
      <c r="H10" s="223"/>
      <c r="I10" s="223"/>
      <c r="J10" s="223"/>
      <c r="K10" s="223"/>
      <c r="L10" s="223"/>
      <c r="M10" s="222"/>
      <c r="N10" s="76" t="s">
        <v>322</v>
      </c>
    </row>
    <row r="11" spans="1:14">
      <c r="A11" s="371"/>
      <c r="B11" s="371"/>
      <c r="C11" s="18">
        <v>3122</v>
      </c>
      <c r="D11" s="160"/>
      <c r="E11" s="160"/>
      <c r="F11" s="160"/>
      <c r="G11" s="222"/>
      <c r="H11" s="223"/>
      <c r="I11" s="223"/>
      <c r="J11" s="223"/>
      <c r="K11" s="223"/>
      <c r="L11" s="223"/>
      <c r="M11" s="222">
        <v>18100</v>
      </c>
      <c r="N11" s="76" t="s">
        <v>315</v>
      </c>
    </row>
    <row r="12" spans="1:14">
      <c r="A12" s="368">
        <v>4</v>
      </c>
      <c r="B12" s="368" t="s">
        <v>323</v>
      </c>
      <c r="C12" s="18">
        <v>14232400</v>
      </c>
      <c r="D12" s="160"/>
      <c r="E12" s="160"/>
      <c r="F12" s="160"/>
      <c r="G12" s="222">
        <v>0.1</v>
      </c>
      <c r="H12" s="223"/>
      <c r="I12" s="223"/>
      <c r="J12" s="223"/>
      <c r="K12" s="223"/>
      <c r="L12" s="223"/>
      <c r="M12" s="222"/>
      <c r="N12" s="76" t="s">
        <v>322</v>
      </c>
    </row>
    <row r="13" spans="1:14">
      <c r="A13" s="371"/>
      <c r="B13" s="371"/>
      <c r="C13" s="18">
        <v>3112</v>
      </c>
      <c r="D13" s="160"/>
      <c r="E13" s="160"/>
      <c r="F13" s="160"/>
      <c r="G13" s="222"/>
      <c r="H13" s="223"/>
      <c r="I13" s="223"/>
      <c r="J13" s="223"/>
      <c r="K13" s="223"/>
      <c r="L13" s="223"/>
      <c r="M13" s="222">
        <v>0.1</v>
      </c>
      <c r="N13" s="76" t="s">
        <v>324</v>
      </c>
    </row>
    <row r="14" spans="1:14">
      <c r="A14" s="8"/>
      <c r="B14" s="18"/>
      <c r="C14" s="18"/>
      <c r="D14" s="160"/>
      <c r="E14" s="160"/>
      <c r="F14" s="160"/>
      <c r="G14" s="222"/>
      <c r="H14" s="223"/>
      <c r="I14" s="223"/>
      <c r="J14" s="223"/>
      <c r="K14" s="223"/>
      <c r="L14" s="223"/>
      <c r="M14" s="222"/>
      <c r="N14" s="76"/>
    </row>
    <row r="15" spans="1:14" ht="13.15" customHeight="1">
      <c r="A15" s="18"/>
      <c r="B15" s="76"/>
      <c r="C15" s="18"/>
      <c r="D15" s="227" t="e">
        <f>SUM(#REF!)</f>
        <v>#REF!</v>
      </c>
      <c r="E15" s="227" t="e">
        <f>SUM(#REF!)</f>
        <v>#REF!</v>
      </c>
      <c r="F15" s="227" t="e">
        <f>SUM(#REF!)</f>
        <v>#REF!</v>
      </c>
      <c r="G15" s="223">
        <f>SUM(G6:G13)</f>
        <v>22941.1</v>
      </c>
      <c r="H15" s="223" t="e">
        <f>SUM(#REF!)</f>
        <v>#REF!</v>
      </c>
      <c r="I15" s="223" t="e">
        <f>SUM(#REF!)</f>
        <v>#REF!</v>
      </c>
      <c r="J15" s="223" t="e">
        <f>SUM(#REF!)</f>
        <v>#REF!</v>
      </c>
      <c r="K15" s="223" t="e">
        <f>SUM(#REF!)</f>
        <v>#REF!</v>
      </c>
      <c r="L15" s="223" t="e">
        <f>SUM(#REF!)</f>
        <v>#REF!</v>
      </c>
      <c r="M15" s="223">
        <f>SUM(M6:M13)</f>
        <v>22941.1</v>
      </c>
      <c r="N15" s="11"/>
    </row>
    <row r="16" spans="1:14">
      <c r="M16" s="27">
        <f>M15-G15</f>
        <v>0</v>
      </c>
    </row>
  </sheetData>
  <mergeCells count="10">
    <mergeCell ref="B12:B13"/>
    <mergeCell ref="A10:A11"/>
    <mergeCell ref="A12:A13"/>
    <mergeCell ref="B6:B7"/>
    <mergeCell ref="A6:A7"/>
    <mergeCell ref="A3:N3"/>
    <mergeCell ref="B8:B9"/>
    <mergeCell ref="A8:A9"/>
    <mergeCell ref="N6:N7"/>
    <mergeCell ref="B10:B11"/>
  </mergeCells>
  <pageMargins left="0.7" right="0.7" top="0.75" bottom="0.75" header="0.3" footer="0.3"/>
  <pageSetup paperSize="9" scale="80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1:Q78"/>
  <sheetViews>
    <sheetView view="pageBreakPreview" topLeftCell="A54" zoomScaleNormal="87" zoomScaleSheetLayoutView="100" workbookViewId="0">
      <selection activeCell="F9" sqref="F9"/>
    </sheetView>
  </sheetViews>
  <sheetFormatPr defaultColWidth="9.140625" defaultRowHeight="12.75"/>
  <cols>
    <col min="1" max="1" width="4.28515625" style="22" customWidth="1"/>
    <col min="2" max="2" width="8.85546875" style="22" customWidth="1"/>
    <col min="3" max="3" width="60.5703125" style="22" customWidth="1"/>
    <col min="4" max="4" width="5.85546875" style="22" customWidth="1"/>
    <col min="5" max="5" width="12.140625" style="22" customWidth="1"/>
    <col min="6" max="6" width="11.5703125" style="22" customWidth="1"/>
    <col min="7" max="7" width="10.5703125" style="22" customWidth="1"/>
    <col min="8" max="8" width="12.140625" style="22" customWidth="1"/>
    <col min="9" max="9" width="10.7109375" style="22" customWidth="1"/>
    <col min="10" max="10" width="11.5703125" style="22" customWidth="1"/>
    <col min="11" max="12" width="11.140625" style="22" customWidth="1"/>
    <col min="13" max="13" width="10.28515625" style="22" customWidth="1"/>
    <col min="14" max="254" width="9.140625" style="22"/>
    <col min="255" max="255" width="4.28515625" style="22" customWidth="1"/>
    <col min="256" max="256" width="8.85546875" style="22" customWidth="1"/>
    <col min="257" max="257" width="60.5703125" style="22" customWidth="1"/>
    <col min="258" max="258" width="5.85546875" style="22" customWidth="1"/>
    <col min="259" max="259" width="12.140625" style="22" customWidth="1"/>
    <col min="260" max="260" width="11.5703125" style="22" customWidth="1"/>
    <col min="261" max="261" width="10.28515625" style="22" bestFit="1" customWidth="1"/>
    <col min="262" max="262" width="12.140625" style="22" customWidth="1"/>
    <col min="263" max="263" width="10.7109375" style="22" customWidth="1"/>
    <col min="264" max="266" width="10.28515625" style="22" customWidth="1"/>
    <col min="267" max="267" width="9.5703125" style="22" customWidth="1"/>
    <col min="268" max="268" width="10.42578125" style="22" customWidth="1"/>
    <col min="269" max="269" width="9.140625" style="22"/>
    <col min="270" max="270" width="10.42578125" style="22" bestFit="1" customWidth="1"/>
    <col min="271" max="510" width="9.140625" style="22"/>
    <col min="511" max="511" width="4.28515625" style="22" customWidth="1"/>
    <col min="512" max="512" width="8.85546875" style="22" customWidth="1"/>
    <col min="513" max="513" width="60.5703125" style="22" customWidth="1"/>
    <col min="514" max="514" width="5.85546875" style="22" customWidth="1"/>
    <col min="515" max="515" width="12.140625" style="22" customWidth="1"/>
    <col min="516" max="516" width="11.5703125" style="22" customWidth="1"/>
    <col min="517" max="517" width="10.28515625" style="22" bestFit="1" customWidth="1"/>
    <col min="518" max="518" width="12.140625" style="22" customWidth="1"/>
    <col min="519" max="519" width="10.7109375" style="22" customWidth="1"/>
    <col min="520" max="522" width="10.28515625" style="22" customWidth="1"/>
    <col min="523" max="523" width="9.5703125" style="22" customWidth="1"/>
    <col min="524" max="524" width="10.42578125" style="22" customWidth="1"/>
    <col min="525" max="525" width="9.140625" style="22"/>
    <col min="526" max="526" width="10.42578125" style="22" bestFit="1" customWidth="1"/>
    <col min="527" max="766" width="9.140625" style="22"/>
    <col min="767" max="767" width="4.28515625" style="22" customWidth="1"/>
    <col min="768" max="768" width="8.85546875" style="22" customWidth="1"/>
    <col min="769" max="769" width="60.5703125" style="22" customWidth="1"/>
    <col min="770" max="770" width="5.85546875" style="22" customWidth="1"/>
    <col min="771" max="771" width="12.140625" style="22" customWidth="1"/>
    <col min="772" max="772" width="11.5703125" style="22" customWidth="1"/>
    <col min="773" max="773" width="10.28515625" style="22" bestFit="1" customWidth="1"/>
    <col min="774" max="774" width="12.140625" style="22" customWidth="1"/>
    <col min="775" max="775" width="10.7109375" style="22" customWidth="1"/>
    <col min="776" max="778" width="10.28515625" style="22" customWidth="1"/>
    <col min="779" max="779" width="9.5703125" style="22" customWidth="1"/>
    <col min="780" max="780" width="10.42578125" style="22" customWidth="1"/>
    <col min="781" max="781" width="9.140625" style="22"/>
    <col min="782" max="782" width="10.42578125" style="22" bestFit="1" customWidth="1"/>
    <col min="783" max="1022" width="9.140625" style="22"/>
    <col min="1023" max="1023" width="4.28515625" style="22" customWidth="1"/>
    <col min="1024" max="1024" width="8.85546875" style="22" customWidth="1"/>
    <col min="1025" max="1025" width="60.5703125" style="22" customWidth="1"/>
    <col min="1026" max="1026" width="5.85546875" style="22" customWidth="1"/>
    <col min="1027" max="1027" width="12.140625" style="22" customWidth="1"/>
    <col min="1028" max="1028" width="11.5703125" style="22" customWidth="1"/>
    <col min="1029" max="1029" width="10.28515625" style="22" bestFit="1" customWidth="1"/>
    <col min="1030" max="1030" width="12.140625" style="22" customWidth="1"/>
    <col min="1031" max="1031" width="10.7109375" style="22" customWidth="1"/>
    <col min="1032" max="1034" width="10.28515625" style="22" customWidth="1"/>
    <col min="1035" max="1035" width="9.5703125" style="22" customWidth="1"/>
    <col min="1036" max="1036" width="10.42578125" style="22" customWidth="1"/>
    <col min="1037" max="1037" width="9.140625" style="22"/>
    <col min="1038" max="1038" width="10.42578125" style="22" bestFit="1" customWidth="1"/>
    <col min="1039" max="1278" width="9.140625" style="22"/>
    <col min="1279" max="1279" width="4.28515625" style="22" customWidth="1"/>
    <col min="1280" max="1280" width="8.85546875" style="22" customWidth="1"/>
    <col min="1281" max="1281" width="60.5703125" style="22" customWidth="1"/>
    <col min="1282" max="1282" width="5.85546875" style="22" customWidth="1"/>
    <col min="1283" max="1283" width="12.140625" style="22" customWidth="1"/>
    <col min="1284" max="1284" width="11.5703125" style="22" customWidth="1"/>
    <col min="1285" max="1285" width="10.28515625" style="22" bestFit="1" customWidth="1"/>
    <col min="1286" max="1286" width="12.140625" style="22" customWidth="1"/>
    <col min="1287" max="1287" width="10.7109375" style="22" customWidth="1"/>
    <col min="1288" max="1290" width="10.28515625" style="22" customWidth="1"/>
    <col min="1291" max="1291" width="9.5703125" style="22" customWidth="1"/>
    <col min="1292" max="1292" width="10.42578125" style="22" customWidth="1"/>
    <col min="1293" max="1293" width="9.140625" style="22"/>
    <col min="1294" max="1294" width="10.42578125" style="22" bestFit="1" customWidth="1"/>
    <col min="1295" max="1534" width="9.140625" style="22"/>
    <col min="1535" max="1535" width="4.28515625" style="22" customWidth="1"/>
    <col min="1536" max="1536" width="8.85546875" style="22" customWidth="1"/>
    <col min="1537" max="1537" width="60.5703125" style="22" customWidth="1"/>
    <col min="1538" max="1538" width="5.85546875" style="22" customWidth="1"/>
    <col min="1539" max="1539" width="12.140625" style="22" customWidth="1"/>
    <col min="1540" max="1540" width="11.5703125" style="22" customWidth="1"/>
    <col min="1541" max="1541" width="10.28515625" style="22" bestFit="1" customWidth="1"/>
    <col min="1542" max="1542" width="12.140625" style="22" customWidth="1"/>
    <col min="1543" max="1543" width="10.7109375" style="22" customWidth="1"/>
    <col min="1544" max="1546" width="10.28515625" style="22" customWidth="1"/>
    <col min="1547" max="1547" width="9.5703125" style="22" customWidth="1"/>
    <col min="1548" max="1548" width="10.42578125" style="22" customWidth="1"/>
    <col min="1549" max="1549" width="9.140625" style="22"/>
    <col min="1550" max="1550" width="10.42578125" style="22" bestFit="1" customWidth="1"/>
    <col min="1551" max="1790" width="9.140625" style="22"/>
    <col min="1791" max="1791" width="4.28515625" style="22" customWidth="1"/>
    <col min="1792" max="1792" width="8.85546875" style="22" customWidth="1"/>
    <col min="1793" max="1793" width="60.5703125" style="22" customWidth="1"/>
    <col min="1794" max="1794" width="5.85546875" style="22" customWidth="1"/>
    <col min="1795" max="1795" width="12.140625" style="22" customWidth="1"/>
    <col min="1796" max="1796" width="11.5703125" style="22" customWidth="1"/>
    <col min="1797" max="1797" width="10.28515625" style="22" bestFit="1" customWidth="1"/>
    <col min="1798" max="1798" width="12.140625" style="22" customWidth="1"/>
    <col min="1799" max="1799" width="10.7109375" style="22" customWidth="1"/>
    <col min="1800" max="1802" width="10.28515625" style="22" customWidth="1"/>
    <col min="1803" max="1803" width="9.5703125" style="22" customWidth="1"/>
    <col min="1804" max="1804" width="10.42578125" style="22" customWidth="1"/>
    <col min="1805" max="1805" width="9.140625" style="22"/>
    <col min="1806" max="1806" width="10.42578125" style="22" bestFit="1" customWidth="1"/>
    <col min="1807" max="2046" width="9.140625" style="22"/>
    <col min="2047" max="2047" width="4.28515625" style="22" customWidth="1"/>
    <col min="2048" max="2048" width="8.85546875" style="22" customWidth="1"/>
    <col min="2049" max="2049" width="60.5703125" style="22" customWidth="1"/>
    <col min="2050" max="2050" width="5.85546875" style="22" customWidth="1"/>
    <col min="2051" max="2051" width="12.140625" style="22" customWidth="1"/>
    <col min="2052" max="2052" width="11.5703125" style="22" customWidth="1"/>
    <col min="2053" max="2053" width="10.28515625" style="22" bestFit="1" customWidth="1"/>
    <col min="2054" max="2054" width="12.140625" style="22" customWidth="1"/>
    <col min="2055" max="2055" width="10.7109375" style="22" customWidth="1"/>
    <col min="2056" max="2058" width="10.28515625" style="22" customWidth="1"/>
    <col min="2059" max="2059" width="9.5703125" style="22" customWidth="1"/>
    <col min="2060" max="2060" width="10.42578125" style="22" customWidth="1"/>
    <col min="2061" max="2061" width="9.140625" style="22"/>
    <col min="2062" max="2062" width="10.42578125" style="22" bestFit="1" customWidth="1"/>
    <col min="2063" max="2302" width="9.140625" style="22"/>
    <col min="2303" max="2303" width="4.28515625" style="22" customWidth="1"/>
    <col min="2304" max="2304" width="8.85546875" style="22" customWidth="1"/>
    <col min="2305" max="2305" width="60.5703125" style="22" customWidth="1"/>
    <col min="2306" max="2306" width="5.85546875" style="22" customWidth="1"/>
    <col min="2307" max="2307" width="12.140625" style="22" customWidth="1"/>
    <col min="2308" max="2308" width="11.5703125" style="22" customWidth="1"/>
    <col min="2309" max="2309" width="10.28515625" style="22" bestFit="1" customWidth="1"/>
    <col min="2310" max="2310" width="12.140625" style="22" customWidth="1"/>
    <col min="2311" max="2311" width="10.7109375" style="22" customWidth="1"/>
    <col min="2312" max="2314" width="10.28515625" style="22" customWidth="1"/>
    <col min="2315" max="2315" width="9.5703125" style="22" customWidth="1"/>
    <col min="2316" max="2316" width="10.42578125" style="22" customWidth="1"/>
    <col min="2317" max="2317" width="9.140625" style="22"/>
    <col min="2318" max="2318" width="10.42578125" style="22" bestFit="1" customWidth="1"/>
    <col min="2319" max="2558" width="9.140625" style="22"/>
    <col min="2559" max="2559" width="4.28515625" style="22" customWidth="1"/>
    <col min="2560" max="2560" width="8.85546875" style="22" customWidth="1"/>
    <col min="2561" max="2561" width="60.5703125" style="22" customWidth="1"/>
    <col min="2562" max="2562" width="5.85546875" style="22" customWidth="1"/>
    <col min="2563" max="2563" width="12.140625" style="22" customWidth="1"/>
    <col min="2564" max="2564" width="11.5703125" style="22" customWidth="1"/>
    <col min="2565" max="2565" width="10.28515625" style="22" bestFit="1" customWidth="1"/>
    <col min="2566" max="2566" width="12.140625" style="22" customWidth="1"/>
    <col min="2567" max="2567" width="10.7109375" style="22" customWidth="1"/>
    <col min="2568" max="2570" width="10.28515625" style="22" customWidth="1"/>
    <col min="2571" max="2571" width="9.5703125" style="22" customWidth="1"/>
    <col min="2572" max="2572" width="10.42578125" style="22" customWidth="1"/>
    <col min="2573" max="2573" width="9.140625" style="22"/>
    <col min="2574" max="2574" width="10.42578125" style="22" bestFit="1" customWidth="1"/>
    <col min="2575" max="2814" width="9.140625" style="22"/>
    <col min="2815" max="2815" width="4.28515625" style="22" customWidth="1"/>
    <col min="2816" max="2816" width="8.85546875" style="22" customWidth="1"/>
    <col min="2817" max="2817" width="60.5703125" style="22" customWidth="1"/>
    <col min="2818" max="2818" width="5.85546875" style="22" customWidth="1"/>
    <col min="2819" max="2819" width="12.140625" style="22" customWidth="1"/>
    <col min="2820" max="2820" width="11.5703125" style="22" customWidth="1"/>
    <col min="2821" max="2821" width="10.28515625" style="22" bestFit="1" customWidth="1"/>
    <col min="2822" max="2822" width="12.140625" style="22" customWidth="1"/>
    <col min="2823" max="2823" width="10.7109375" style="22" customWidth="1"/>
    <col min="2824" max="2826" width="10.28515625" style="22" customWidth="1"/>
    <col min="2827" max="2827" width="9.5703125" style="22" customWidth="1"/>
    <col min="2828" max="2828" width="10.42578125" style="22" customWidth="1"/>
    <col min="2829" max="2829" width="9.140625" style="22"/>
    <col min="2830" max="2830" width="10.42578125" style="22" bestFit="1" customWidth="1"/>
    <col min="2831" max="3070" width="9.140625" style="22"/>
    <col min="3071" max="3071" width="4.28515625" style="22" customWidth="1"/>
    <col min="3072" max="3072" width="8.85546875" style="22" customWidth="1"/>
    <col min="3073" max="3073" width="60.5703125" style="22" customWidth="1"/>
    <col min="3074" max="3074" width="5.85546875" style="22" customWidth="1"/>
    <col min="3075" max="3075" width="12.140625" style="22" customWidth="1"/>
    <col min="3076" max="3076" width="11.5703125" style="22" customWidth="1"/>
    <col min="3077" max="3077" width="10.28515625" style="22" bestFit="1" customWidth="1"/>
    <col min="3078" max="3078" width="12.140625" style="22" customWidth="1"/>
    <col min="3079" max="3079" width="10.7109375" style="22" customWidth="1"/>
    <col min="3080" max="3082" width="10.28515625" style="22" customWidth="1"/>
    <col min="3083" max="3083" width="9.5703125" style="22" customWidth="1"/>
    <col min="3084" max="3084" width="10.42578125" style="22" customWidth="1"/>
    <col min="3085" max="3085" width="9.140625" style="22"/>
    <col min="3086" max="3086" width="10.42578125" style="22" bestFit="1" customWidth="1"/>
    <col min="3087" max="3326" width="9.140625" style="22"/>
    <col min="3327" max="3327" width="4.28515625" style="22" customWidth="1"/>
    <col min="3328" max="3328" width="8.85546875" style="22" customWidth="1"/>
    <col min="3329" max="3329" width="60.5703125" style="22" customWidth="1"/>
    <col min="3330" max="3330" width="5.85546875" style="22" customWidth="1"/>
    <col min="3331" max="3331" width="12.140625" style="22" customWidth="1"/>
    <col min="3332" max="3332" width="11.5703125" style="22" customWidth="1"/>
    <col min="3333" max="3333" width="10.28515625" style="22" bestFit="1" customWidth="1"/>
    <col min="3334" max="3334" width="12.140625" style="22" customWidth="1"/>
    <col min="3335" max="3335" width="10.7109375" style="22" customWidth="1"/>
    <col min="3336" max="3338" width="10.28515625" style="22" customWidth="1"/>
    <col min="3339" max="3339" width="9.5703125" style="22" customWidth="1"/>
    <col min="3340" max="3340" width="10.42578125" style="22" customWidth="1"/>
    <col min="3341" max="3341" width="9.140625" style="22"/>
    <col min="3342" max="3342" width="10.42578125" style="22" bestFit="1" customWidth="1"/>
    <col min="3343" max="3582" width="9.140625" style="22"/>
    <col min="3583" max="3583" width="4.28515625" style="22" customWidth="1"/>
    <col min="3584" max="3584" width="8.85546875" style="22" customWidth="1"/>
    <col min="3585" max="3585" width="60.5703125" style="22" customWidth="1"/>
    <col min="3586" max="3586" width="5.85546875" style="22" customWidth="1"/>
    <col min="3587" max="3587" width="12.140625" style="22" customWidth="1"/>
    <col min="3588" max="3588" width="11.5703125" style="22" customWidth="1"/>
    <col min="3589" max="3589" width="10.28515625" style="22" bestFit="1" customWidth="1"/>
    <col min="3590" max="3590" width="12.140625" style="22" customWidth="1"/>
    <col min="3591" max="3591" width="10.7109375" style="22" customWidth="1"/>
    <col min="3592" max="3594" width="10.28515625" style="22" customWidth="1"/>
    <col min="3595" max="3595" width="9.5703125" style="22" customWidth="1"/>
    <col min="3596" max="3596" width="10.42578125" style="22" customWidth="1"/>
    <col min="3597" max="3597" width="9.140625" style="22"/>
    <col min="3598" max="3598" width="10.42578125" style="22" bestFit="1" customWidth="1"/>
    <col min="3599" max="3838" width="9.140625" style="22"/>
    <col min="3839" max="3839" width="4.28515625" style="22" customWidth="1"/>
    <col min="3840" max="3840" width="8.85546875" style="22" customWidth="1"/>
    <col min="3841" max="3841" width="60.5703125" style="22" customWidth="1"/>
    <col min="3842" max="3842" width="5.85546875" style="22" customWidth="1"/>
    <col min="3843" max="3843" width="12.140625" style="22" customWidth="1"/>
    <col min="3844" max="3844" width="11.5703125" style="22" customWidth="1"/>
    <col min="3845" max="3845" width="10.28515625" style="22" bestFit="1" customWidth="1"/>
    <col min="3846" max="3846" width="12.140625" style="22" customWidth="1"/>
    <col min="3847" max="3847" width="10.7109375" style="22" customWidth="1"/>
    <col min="3848" max="3850" width="10.28515625" style="22" customWidth="1"/>
    <col min="3851" max="3851" width="9.5703125" style="22" customWidth="1"/>
    <col min="3852" max="3852" width="10.42578125" style="22" customWidth="1"/>
    <col min="3853" max="3853" width="9.140625" style="22"/>
    <col min="3854" max="3854" width="10.42578125" style="22" bestFit="1" customWidth="1"/>
    <col min="3855" max="4094" width="9.140625" style="22"/>
    <col min="4095" max="4095" width="4.28515625" style="22" customWidth="1"/>
    <col min="4096" max="4096" width="8.85546875" style="22" customWidth="1"/>
    <col min="4097" max="4097" width="60.5703125" style="22" customWidth="1"/>
    <col min="4098" max="4098" width="5.85546875" style="22" customWidth="1"/>
    <col min="4099" max="4099" width="12.140625" style="22" customWidth="1"/>
    <col min="4100" max="4100" width="11.5703125" style="22" customWidth="1"/>
    <col min="4101" max="4101" width="10.28515625" style="22" bestFit="1" customWidth="1"/>
    <col min="4102" max="4102" width="12.140625" style="22" customWidth="1"/>
    <col min="4103" max="4103" width="10.7109375" style="22" customWidth="1"/>
    <col min="4104" max="4106" width="10.28515625" style="22" customWidth="1"/>
    <col min="4107" max="4107" width="9.5703125" style="22" customWidth="1"/>
    <col min="4108" max="4108" width="10.42578125" style="22" customWidth="1"/>
    <col min="4109" max="4109" width="9.140625" style="22"/>
    <col min="4110" max="4110" width="10.42578125" style="22" bestFit="1" customWidth="1"/>
    <col min="4111" max="4350" width="9.140625" style="22"/>
    <col min="4351" max="4351" width="4.28515625" style="22" customWidth="1"/>
    <col min="4352" max="4352" width="8.85546875" style="22" customWidth="1"/>
    <col min="4353" max="4353" width="60.5703125" style="22" customWidth="1"/>
    <col min="4354" max="4354" width="5.85546875" style="22" customWidth="1"/>
    <col min="4355" max="4355" width="12.140625" style="22" customWidth="1"/>
    <col min="4356" max="4356" width="11.5703125" style="22" customWidth="1"/>
    <col min="4357" max="4357" width="10.28515625" style="22" bestFit="1" customWidth="1"/>
    <col min="4358" max="4358" width="12.140625" style="22" customWidth="1"/>
    <col min="4359" max="4359" width="10.7109375" style="22" customWidth="1"/>
    <col min="4360" max="4362" width="10.28515625" style="22" customWidth="1"/>
    <col min="4363" max="4363" width="9.5703125" style="22" customWidth="1"/>
    <col min="4364" max="4364" width="10.42578125" style="22" customWidth="1"/>
    <col min="4365" max="4365" width="9.140625" style="22"/>
    <col min="4366" max="4366" width="10.42578125" style="22" bestFit="1" customWidth="1"/>
    <col min="4367" max="4606" width="9.140625" style="22"/>
    <col min="4607" max="4607" width="4.28515625" style="22" customWidth="1"/>
    <col min="4608" max="4608" width="8.85546875" style="22" customWidth="1"/>
    <col min="4609" max="4609" width="60.5703125" style="22" customWidth="1"/>
    <col min="4610" max="4610" width="5.85546875" style="22" customWidth="1"/>
    <col min="4611" max="4611" width="12.140625" style="22" customWidth="1"/>
    <col min="4612" max="4612" width="11.5703125" style="22" customWidth="1"/>
    <col min="4613" max="4613" width="10.28515625" style="22" bestFit="1" customWidth="1"/>
    <col min="4614" max="4614" width="12.140625" style="22" customWidth="1"/>
    <col min="4615" max="4615" width="10.7109375" style="22" customWidth="1"/>
    <col min="4616" max="4618" width="10.28515625" style="22" customWidth="1"/>
    <col min="4619" max="4619" width="9.5703125" style="22" customWidth="1"/>
    <col min="4620" max="4620" width="10.42578125" style="22" customWidth="1"/>
    <col min="4621" max="4621" width="9.140625" style="22"/>
    <col min="4622" max="4622" width="10.42578125" style="22" bestFit="1" customWidth="1"/>
    <col min="4623" max="4862" width="9.140625" style="22"/>
    <col min="4863" max="4863" width="4.28515625" style="22" customWidth="1"/>
    <col min="4864" max="4864" width="8.85546875" style="22" customWidth="1"/>
    <col min="4865" max="4865" width="60.5703125" style="22" customWidth="1"/>
    <col min="4866" max="4866" width="5.85546875" style="22" customWidth="1"/>
    <col min="4867" max="4867" width="12.140625" style="22" customWidth="1"/>
    <col min="4868" max="4868" width="11.5703125" style="22" customWidth="1"/>
    <col min="4869" max="4869" width="10.28515625" style="22" bestFit="1" customWidth="1"/>
    <col min="4870" max="4870" width="12.140625" style="22" customWidth="1"/>
    <col min="4871" max="4871" width="10.7109375" style="22" customWidth="1"/>
    <col min="4872" max="4874" width="10.28515625" style="22" customWidth="1"/>
    <col min="4875" max="4875" width="9.5703125" style="22" customWidth="1"/>
    <col min="4876" max="4876" width="10.42578125" style="22" customWidth="1"/>
    <col min="4877" max="4877" width="9.140625" style="22"/>
    <col min="4878" max="4878" width="10.42578125" style="22" bestFit="1" customWidth="1"/>
    <col min="4879" max="5118" width="9.140625" style="22"/>
    <col min="5119" max="5119" width="4.28515625" style="22" customWidth="1"/>
    <col min="5120" max="5120" width="8.85546875" style="22" customWidth="1"/>
    <col min="5121" max="5121" width="60.5703125" style="22" customWidth="1"/>
    <col min="5122" max="5122" width="5.85546875" style="22" customWidth="1"/>
    <col min="5123" max="5123" width="12.140625" style="22" customWidth="1"/>
    <col min="5124" max="5124" width="11.5703125" style="22" customWidth="1"/>
    <col min="5125" max="5125" width="10.28515625" style="22" bestFit="1" customWidth="1"/>
    <col min="5126" max="5126" width="12.140625" style="22" customWidth="1"/>
    <col min="5127" max="5127" width="10.7109375" style="22" customWidth="1"/>
    <col min="5128" max="5130" width="10.28515625" style="22" customWidth="1"/>
    <col min="5131" max="5131" width="9.5703125" style="22" customWidth="1"/>
    <col min="5132" max="5132" width="10.42578125" style="22" customWidth="1"/>
    <col min="5133" max="5133" width="9.140625" style="22"/>
    <col min="5134" max="5134" width="10.42578125" style="22" bestFit="1" customWidth="1"/>
    <col min="5135" max="5374" width="9.140625" style="22"/>
    <col min="5375" max="5375" width="4.28515625" style="22" customWidth="1"/>
    <col min="5376" max="5376" width="8.85546875" style="22" customWidth="1"/>
    <col min="5377" max="5377" width="60.5703125" style="22" customWidth="1"/>
    <col min="5378" max="5378" width="5.85546875" style="22" customWidth="1"/>
    <col min="5379" max="5379" width="12.140625" style="22" customWidth="1"/>
    <col min="5380" max="5380" width="11.5703125" style="22" customWidth="1"/>
    <col min="5381" max="5381" width="10.28515625" style="22" bestFit="1" customWidth="1"/>
    <col min="5382" max="5382" width="12.140625" style="22" customWidth="1"/>
    <col min="5383" max="5383" width="10.7109375" style="22" customWidth="1"/>
    <col min="5384" max="5386" width="10.28515625" style="22" customWidth="1"/>
    <col min="5387" max="5387" width="9.5703125" style="22" customWidth="1"/>
    <col min="5388" max="5388" width="10.42578125" style="22" customWidth="1"/>
    <col min="5389" max="5389" width="9.140625" style="22"/>
    <col min="5390" max="5390" width="10.42578125" style="22" bestFit="1" customWidth="1"/>
    <col min="5391" max="5630" width="9.140625" style="22"/>
    <col min="5631" max="5631" width="4.28515625" style="22" customWidth="1"/>
    <col min="5632" max="5632" width="8.85546875" style="22" customWidth="1"/>
    <col min="5633" max="5633" width="60.5703125" style="22" customWidth="1"/>
    <col min="5634" max="5634" width="5.85546875" style="22" customWidth="1"/>
    <col min="5635" max="5635" width="12.140625" style="22" customWidth="1"/>
    <col min="5636" max="5636" width="11.5703125" style="22" customWidth="1"/>
    <col min="5637" max="5637" width="10.28515625" style="22" bestFit="1" customWidth="1"/>
    <col min="5638" max="5638" width="12.140625" style="22" customWidth="1"/>
    <col min="5639" max="5639" width="10.7109375" style="22" customWidth="1"/>
    <col min="5640" max="5642" width="10.28515625" style="22" customWidth="1"/>
    <col min="5643" max="5643" width="9.5703125" style="22" customWidth="1"/>
    <col min="5644" max="5644" width="10.42578125" style="22" customWidth="1"/>
    <col min="5645" max="5645" width="9.140625" style="22"/>
    <col min="5646" max="5646" width="10.42578125" style="22" bestFit="1" customWidth="1"/>
    <col min="5647" max="5886" width="9.140625" style="22"/>
    <col min="5887" max="5887" width="4.28515625" style="22" customWidth="1"/>
    <col min="5888" max="5888" width="8.85546875" style="22" customWidth="1"/>
    <col min="5889" max="5889" width="60.5703125" style="22" customWidth="1"/>
    <col min="5890" max="5890" width="5.85546875" style="22" customWidth="1"/>
    <col min="5891" max="5891" width="12.140625" style="22" customWidth="1"/>
    <col min="5892" max="5892" width="11.5703125" style="22" customWidth="1"/>
    <col min="5893" max="5893" width="10.28515625" style="22" bestFit="1" customWidth="1"/>
    <col min="5894" max="5894" width="12.140625" style="22" customWidth="1"/>
    <col min="5895" max="5895" width="10.7109375" style="22" customWidth="1"/>
    <col min="5896" max="5898" width="10.28515625" style="22" customWidth="1"/>
    <col min="5899" max="5899" width="9.5703125" style="22" customWidth="1"/>
    <col min="5900" max="5900" width="10.42578125" style="22" customWidth="1"/>
    <col min="5901" max="5901" width="9.140625" style="22"/>
    <col min="5902" max="5902" width="10.42578125" style="22" bestFit="1" customWidth="1"/>
    <col min="5903" max="6142" width="9.140625" style="22"/>
    <col min="6143" max="6143" width="4.28515625" style="22" customWidth="1"/>
    <col min="6144" max="6144" width="8.85546875" style="22" customWidth="1"/>
    <col min="6145" max="6145" width="60.5703125" style="22" customWidth="1"/>
    <col min="6146" max="6146" width="5.85546875" style="22" customWidth="1"/>
    <col min="6147" max="6147" width="12.140625" style="22" customWidth="1"/>
    <col min="6148" max="6148" width="11.5703125" style="22" customWidth="1"/>
    <col min="6149" max="6149" width="10.28515625" style="22" bestFit="1" customWidth="1"/>
    <col min="6150" max="6150" width="12.140625" style="22" customWidth="1"/>
    <col min="6151" max="6151" width="10.7109375" style="22" customWidth="1"/>
    <col min="6152" max="6154" width="10.28515625" style="22" customWidth="1"/>
    <col min="6155" max="6155" width="9.5703125" style="22" customWidth="1"/>
    <col min="6156" max="6156" width="10.42578125" style="22" customWidth="1"/>
    <col min="6157" max="6157" width="9.140625" style="22"/>
    <col min="6158" max="6158" width="10.42578125" style="22" bestFit="1" customWidth="1"/>
    <col min="6159" max="6398" width="9.140625" style="22"/>
    <col min="6399" max="6399" width="4.28515625" style="22" customWidth="1"/>
    <col min="6400" max="6400" width="8.85546875" style="22" customWidth="1"/>
    <col min="6401" max="6401" width="60.5703125" style="22" customWidth="1"/>
    <col min="6402" max="6402" width="5.85546875" style="22" customWidth="1"/>
    <col min="6403" max="6403" width="12.140625" style="22" customWidth="1"/>
    <col min="6404" max="6404" width="11.5703125" style="22" customWidth="1"/>
    <col min="6405" max="6405" width="10.28515625" style="22" bestFit="1" customWidth="1"/>
    <col min="6406" max="6406" width="12.140625" style="22" customWidth="1"/>
    <col min="6407" max="6407" width="10.7109375" style="22" customWidth="1"/>
    <col min="6408" max="6410" width="10.28515625" style="22" customWidth="1"/>
    <col min="6411" max="6411" width="9.5703125" style="22" customWidth="1"/>
    <col min="6412" max="6412" width="10.42578125" style="22" customWidth="1"/>
    <col min="6413" max="6413" width="9.140625" style="22"/>
    <col min="6414" max="6414" width="10.42578125" style="22" bestFit="1" customWidth="1"/>
    <col min="6415" max="6654" width="9.140625" style="22"/>
    <col min="6655" max="6655" width="4.28515625" style="22" customWidth="1"/>
    <col min="6656" max="6656" width="8.85546875" style="22" customWidth="1"/>
    <col min="6657" max="6657" width="60.5703125" style="22" customWidth="1"/>
    <col min="6658" max="6658" width="5.85546875" style="22" customWidth="1"/>
    <col min="6659" max="6659" width="12.140625" style="22" customWidth="1"/>
    <col min="6660" max="6660" width="11.5703125" style="22" customWidth="1"/>
    <col min="6661" max="6661" width="10.28515625" style="22" bestFit="1" customWidth="1"/>
    <col min="6662" max="6662" width="12.140625" style="22" customWidth="1"/>
    <col min="6663" max="6663" width="10.7109375" style="22" customWidth="1"/>
    <col min="6664" max="6666" width="10.28515625" style="22" customWidth="1"/>
    <col min="6667" max="6667" width="9.5703125" style="22" customWidth="1"/>
    <col min="6668" max="6668" width="10.42578125" style="22" customWidth="1"/>
    <col min="6669" max="6669" width="9.140625" style="22"/>
    <col min="6670" max="6670" width="10.42578125" style="22" bestFit="1" customWidth="1"/>
    <col min="6671" max="6910" width="9.140625" style="22"/>
    <col min="6911" max="6911" width="4.28515625" style="22" customWidth="1"/>
    <col min="6912" max="6912" width="8.85546875" style="22" customWidth="1"/>
    <col min="6913" max="6913" width="60.5703125" style="22" customWidth="1"/>
    <col min="6914" max="6914" width="5.85546875" style="22" customWidth="1"/>
    <col min="6915" max="6915" width="12.140625" style="22" customWidth="1"/>
    <col min="6916" max="6916" width="11.5703125" style="22" customWidth="1"/>
    <col min="6917" max="6917" width="10.28515625" style="22" bestFit="1" customWidth="1"/>
    <col min="6918" max="6918" width="12.140625" style="22" customWidth="1"/>
    <col min="6919" max="6919" width="10.7109375" style="22" customWidth="1"/>
    <col min="6920" max="6922" width="10.28515625" style="22" customWidth="1"/>
    <col min="6923" max="6923" width="9.5703125" style="22" customWidth="1"/>
    <col min="6924" max="6924" width="10.42578125" style="22" customWidth="1"/>
    <col min="6925" max="6925" width="9.140625" style="22"/>
    <col min="6926" max="6926" width="10.42578125" style="22" bestFit="1" customWidth="1"/>
    <col min="6927" max="7166" width="9.140625" style="22"/>
    <col min="7167" max="7167" width="4.28515625" style="22" customWidth="1"/>
    <col min="7168" max="7168" width="8.85546875" style="22" customWidth="1"/>
    <col min="7169" max="7169" width="60.5703125" style="22" customWidth="1"/>
    <col min="7170" max="7170" width="5.85546875" style="22" customWidth="1"/>
    <col min="7171" max="7171" width="12.140625" style="22" customWidth="1"/>
    <col min="7172" max="7172" width="11.5703125" style="22" customWidth="1"/>
    <col min="7173" max="7173" width="10.28515625" style="22" bestFit="1" customWidth="1"/>
    <col min="7174" max="7174" width="12.140625" style="22" customWidth="1"/>
    <col min="7175" max="7175" width="10.7109375" style="22" customWidth="1"/>
    <col min="7176" max="7178" width="10.28515625" style="22" customWidth="1"/>
    <col min="7179" max="7179" width="9.5703125" style="22" customWidth="1"/>
    <col min="7180" max="7180" width="10.42578125" style="22" customWidth="1"/>
    <col min="7181" max="7181" width="9.140625" style="22"/>
    <col min="7182" max="7182" width="10.42578125" style="22" bestFit="1" customWidth="1"/>
    <col min="7183" max="7422" width="9.140625" style="22"/>
    <col min="7423" max="7423" width="4.28515625" style="22" customWidth="1"/>
    <col min="7424" max="7424" width="8.85546875" style="22" customWidth="1"/>
    <col min="7425" max="7425" width="60.5703125" style="22" customWidth="1"/>
    <col min="7426" max="7426" width="5.85546875" style="22" customWidth="1"/>
    <col min="7427" max="7427" width="12.140625" style="22" customWidth="1"/>
    <col min="7428" max="7428" width="11.5703125" style="22" customWidth="1"/>
    <col min="7429" max="7429" width="10.28515625" style="22" bestFit="1" customWidth="1"/>
    <col min="7430" max="7430" width="12.140625" style="22" customWidth="1"/>
    <col min="7431" max="7431" width="10.7109375" style="22" customWidth="1"/>
    <col min="7432" max="7434" width="10.28515625" style="22" customWidth="1"/>
    <col min="7435" max="7435" width="9.5703125" style="22" customWidth="1"/>
    <col min="7436" max="7436" width="10.42578125" style="22" customWidth="1"/>
    <col min="7437" max="7437" width="9.140625" style="22"/>
    <col min="7438" max="7438" width="10.42578125" style="22" bestFit="1" customWidth="1"/>
    <col min="7439" max="7678" width="9.140625" style="22"/>
    <col min="7679" max="7679" width="4.28515625" style="22" customWidth="1"/>
    <col min="7680" max="7680" width="8.85546875" style="22" customWidth="1"/>
    <col min="7681" max="7681" width="60.5703125" style="22" customWidth="1"/>
    <col min="7682" max="7682" width="5.85546875" style="22" customWidth="1"/>
    <col min="7683" max="7683" width="12.140625" style="22" customWidth="1"/>
    <col min="7684" max="7684" width="11.5703125" style="22" customWidth="1"/>
    <col min="7685" max="7685" width="10.28515625" style="22" bestFit="1" customWidth="1"/>
    <col min="7686" max="7686" width="12.140625" style="22" customWidth="1"/>
    <col min="7687" max="7687" width="10.7109375" style="22" customWidth="1"/>
    <col min="7688" max="7690" width="10.28515625" style="22" customWidth="1"/>
    <col min="7691" max="7691" width="9.5703125" style="22" customWidth="1"/>
    <col min="7692" max="7692" width="10.42578125" style="22" customWidth="1"/>
    <col min="7693" max="7693" width="9.140625" style="22"/>
    <col min="7694" max="7694" width="10.42578125" style="22" bestFit="1" customWidth="1"/>
    <col min="7695" max="7934" width="9.140625" style="22"/>
    <col min="7935" max="7935" width="4.28515625" style="22" customWidth="1"/>
    <col min="7936" max="7936" width="8.85546875" style="22" customWidth="1"/>
    <col min="7937" max="7937" width="60.5703125" style="22" customWidth="1"/>
    <col min="7938" max="7938" width="5.85546875" style="22" customWidth="1"/>
    <col min="7939" max="7939" width="12.140625" style="22" customWidth="1"/>
    <col min="7940" max="7940" width="11.5703125" style="22" customWidth="1"/>
    <col min="7941" max="7941" width="10.28515625" style="22" bestFit="1" customWidth="1"/>
    <col min="7942" max="7942" width="12.140625" style="22" customWidth="1"/>
    <col min="7943" max="7943" width="10.7109375" style="22" customWidth="1"/>
    <col min="7944" max="7946" width="10.28515625" style="22" customWidth="1"/>
    <col min="7947" max="7947" width="9.5703125" style="22" customWidth="1"/>
    <col min="7948" max="7948" width="10.42578125" style="22" customWidth="1"/>
    <col min="7949" max="7949" width="9.140625" style="22"/>
    <col min="7950" max="7950" width="10.42578125" style="22" bestFit="1" customWidth="1"/>
    <col min="7951" max="8190" width="9.140625" style="22"/>
    <col min="8191" max="8191" width="4.28515625" style="22" customWidth="1"/>
    <col min="8192" max="8192" width="8.85546875" style="22" customWidth="1"/>
    <col min="8193" max="8193" width="60.5703125" style="22" customWidth="1"/>
    <col min="8194" max="8194" width="5.85546875" style="22" customWidth="1"/>
    <col min="8195" max="8195" width="12.140625" style="22" customWidth="1"/>
    <col min="8196" max="8196" width="11.5703125" style="22" customWidth="1"/>
    <col min="8197" max="8197" width="10.28515625" style="22" bestFit="1" customWidth="1"/>
    <col min="8198" max="8198" width="12.140625" style="22" customWidth="1"/>
    <col min="8199" max="8199" width="10.7109375" style="22" customWidth="1"/>
    <col min="8200" max="8202" width="10.28515625" style="22" customWidth="1"/>
    <col min="8203" max="8203" width="9.5703125" style="22" customWidth="1"/>
    <col min="8204" max="8204" width="10.42578125" style="22" customWidth="1"/>
    <col min="8205" max="8205" width="9.140625" style="22"/>
    <col min="8206" max="8206" width="10.42578125" style="22" bestFit="1" customWidth="1"/>
    <col min="8207" max="8446" width="9.140625" style="22"/>
    <col min="8447" max="8447" width="4.28515625" style="22" customWidth="1"/>
    <col min="8448" max="8448" width="8.85546875" style="22" customWidth="1"/>
    <col min="8449" max="8449" width="60.5703125" style="22" customWidth="1"/>
    <col min="8450" max="8450" width="5.85546875" style="22" customWidth="1"/>
    <col min="8451" max="8451" width="12.140625" style="22" customWidth="1"/>
    <col min="8452" max="8452" width="11.5703125" style="22" customWidth="1"/>
    <col min="8453" max="8453" width="10.28515625" style="22" bestFit="1" customWidth="1"/>
    <col min="8454" max="8454" width="12.140625" style="22" customWidth="1"/>
    <col min="8455" max="8455" width="10.7109375" style="22" customWidth="1"/>
    <col min="8456" max="8458" width="10.28515625" style="22" customWidth="1"/>
    <col min="8459" max="8459" width="9.5703125" style="22" customWidth="1"/>
    <col min="8460" max="8460" width="10.42578125" style="22" customWidth="1"/>
    <col min="8461" max="8461" width="9.140625" style="22"/>
    <col min="8462" max="8462" width="10.42578125" style="22" bestFit="1" customWidth="1"/>
    <col min="8463" max="8702" width="9.140625" style="22"/>
    <col min="8703" max="8703" width="4.28515625" style="22" customWidth="1"/>
    <col min="8704" max="8704" width="8.85546875" style="22" customWidth="1"/>
    <col min="8705" max="8705" width="60.5703125" style="22" customWidth="1"/>
    <col min="8706" max="8706" width="5.85546875" style="22" customWidth="1"/>
    <col min="8707" max="8707" width="12.140625" style="22" customWidth="1"/>
    <col min="8708" max="8708" width="11.5703125" style="22" customWidth="1"/>
    <col min="8709" max="8709" width="10.28515625" style="22" bestFit="1" customWidth="1"/>
    <col min="8710" max="8710" width="12.140625" style="22" customWidth="1"/>
    <col min="8711" max="8711" width="10.7109375" style="22" customWidth="1"/>
    <col min="8712" max="8714" width="10.28515625" style="22" customWidth="1"/>
    <col min="8715" max="8715" width="9.5703125" style="22" customWidth="1"/>
    <col min="8716" max="8716" width="10.42578125" style="22" customWidth="1"/>
    <col min="8717" max="8717" width="9.140625" style="22"/>
    <col min="8718" max="8718" width="10.42578125" style="22" bestFit="1" customWidth="1"/>
    <col min="8719" max="8958" width="9.140625" style="22"/>
    <col min="8959" max="8959" width="4.28515625" style="22" customWidth="1"/>
    <col min="8960" max="8960" width="8.85546875" style="22" customWidth="1"/>
    <col min="8961" max="8961" width="60.5703125" style="22" customWidth="1"/>
    <col min="8962" max="8962" width="5.85546875" style="22" customWidth="1"/>
    <col min="8963" max="8963" width="12.140625" style="22" customWidth="1"/>
    <col min="8964" max="8964" width="11.5703125" style="22" customWidth="1"/>
    <col min="8965" max="8965" width="10.28515625" style="22" bestFit="1" customWidth="1"/>
    <col min="8966" max="8966" width="12.140625" style="22" customWidth="1"/>
    <col min="8967" max="8967" width="10.7109375" style="22" customWidth="1"/>
    <col min="8968" max="8970" width="10.28515625" style="22" customWidth="1"/>
    <col min="8971" max="8971" width="9.5703125" style="22" customWidth="1"/>
    <col min="8972" max="8972" width="10.42578125" style="22" customWidth="1"/>
    <col min="8973" max="8973" width="9.140625" style="22"/>
    <col min="8974" max="8974" width="10.42578125" style="22" bestFit="1" customWidth="1"/>
    <col min="8975" max="9214" width="9.140625" style="22"/>
    <col min="9215" max="9215" width="4.28515625" style="22" customWidth="1"/>
    <col min="9216" max="9216" width="8.85546875" style="22" customWidth="1"/>
    <col min="9217" max="9217" width="60.5703125" style="22" customWidth="1"/>
    <col min="9218" max="9218" width="5.85546875" style="22" customWidth="1"/>
    <col min="9219" max="9219" width="12.140625" style="22" customWidth="1"/>
    <col min="9220" max="9220" width="11.5703125" style="22" customWidth="1"/>
    <col min="9221" max="9221" width="10.28515625" style="22" bestFit="1" customWidth="1"/>
    <col min="9222" max="9222" width="12.140625" style="22" customWidth="1"/>
    <col min="9223" max="9223" width="10.7109375" style="22" customWidth="1"/>
    <col min="9224" max="9226" width="10.28515625" style="22" customWidth="1"/>
    <col min="9227" max="9227" width="9.5703125" style="22" customWidth="1"/>
    <col min="9228" max="9228" width="10.42578125" style="22" customWidth="1"/>
    <col min="9229" max="9229" width="9.140625" style="22"/>
    <col min="9230" max="9230" width="10.42578125" style="22" bestFit="1" customWidth="1"/>
    <col min="9231" max="9470" width="9.140625" style="22"/>
    <col min="9471" max="9471" width="4.28515625" style="22" customWidth="1"/>
    <col min="9472" max="9472" width="8.85546875" style="22" customWidth="1"/>
    <col min="9473" max="9473" width="60.5703125" style="22" customWidth="1"/>
    <col min="9474" max="9474" width="5.85546875" style="22" customWidth="1"/>
    <col min="9475" max="9475" width="12.140625" style="22" customWidth="1"/>
    <col min="9476" max="9476" width="11.5703125" style="22" customWidth="1"/>
    <col min="9477" max="9477" width="10.28515625" style="22" bestFit="1" customWidth="1"/>
    <col min="9478" max="9478" width="12.140625" style="22" customWidth="1"/>
    <col min="9479" max="9479" width="10.7109375" style="22" customWidth="1"/>
    <col min="9480" max="9482" width="10.28515625" style="22" customWidth="1"/>
    <col min="9483" max="9483" width="9.5703125" style="22" customWidth="1"/>
    <col min="9484" max="9484" width="10.42578125" style="22" customWidth="1"/>
    <col min="9485" max="9485" width="9.140625" style="22"/>
    <col min="9486" max="9486" width="10.42578125" style="22" bestFit="1" customWidth="1"/>
    <col min="9487" max="9726" width="9.140625" style="22"/>
    <col min="9727" max="9727" width="4.28515625" style="22" customWidth="1"/>
    <col min="9728" max="9728" width="8.85546875" style="22" customWidth="1"/>
    <col min="9729" max="9729" width="60.5703125" style="22" customWidth="1"/>
    <col min="9730" max="9730" width="5.85546875" style="22" customWidth="1"/>
    <col min="9731" max="9731" width="12.140625" style="22" customWidth="1"/>
    <col min="9732" max="9732" width="11.5703125" style="22" customWidth="1"/>
    <col min="9733" max="9733" width="10.28515625" style="22" bestFit="1" customWidth="1"/>
    <col min="9734" max="9734" width="12.140625" style="22" customWidth="1"/>
    <col min="9735" max="9735" width="10.7109375" style="22" customWidth="1"/>
    <col min="9736" max="9738" width="10.28515625" style="22" customWidth="1"/>
    <col min="9739" max="9739" width="9.5703125" style="22" customWidth="1"/>
    <col min="9740" max="9740" width="10.42578125" style="22" customWidth="1"/>
    <col min="9741" max="9741" width="9.140625" style="22"/>
    <col min="9742" max="9742" width="10.42578125" style="22" bestFit="1" customWidth="1"/>
    <col min="9743" max="9982" width="9.140625" style="22"/>
    <col min="9983" max="9983" width="4.28515625" style="22" customWidth="1"/>
    <col min="9984" max="9984" width="8.85546875" style="22" customWidth="1"/>
    <col min="9985" max="9985" width="60.5703125" style="22" customWidth="1"/>
    <col min="9986" max="9986" width="5.85546875" style="22" customWidth="1"/>
    <col min="9987" max="9987" width="12.140625" style="22" customWidth="1"/>
    <col min="9988" max="9988" width="11.5703125" style="22" customWidth="1"/>
    <col min="9989" max="9989" width="10.28515625" style="22" bestFit="1" customWidth="1"/>
    <col min="9990" max="9990" width="12.140625" style="22" customWidth="1"/>
    <col min="9991" max="9991" width="10.7109375" style="22" customWidth="1"/>
    <col min="9992" max="9994" width="10.28515625" style="22" customWidth="1"/>
    <col min="9995" max="9995" width="9.5703125" style="22" customWidth="1"/>
    <col min="9996" max="9996" width="10.42578125" style="22" customWidth="1"/>
    <col min="9997" max="9997" width="9.140625" style="22"/>
    <col min="9998" max="9998" width="10.42578125" style="22" bestFit="1" customWidth="1"/>
    <col min="9999" max="10238" width="9.140625" style="22"/>
    <col min="10239" max="10239" width="4.28515625" style="22" customWidth="1"/>
    <col min="10240" max="10240" width="8.85546875" style="22" customWidth="1"/>
    <col min="10241" max="10241" width="60.5703125" style="22" customWidth="1"/>
    <col min="10242" max="10242" width="5.85546875" style="22" customWidth="1"/>
    <col min="10243" max="10243" width="12.140625" style="22" customWidth="1"/>
    <col min="10244" max="10244" width="11.5703125" style="22" customWidth="1"/>
    <col min="10245" max="10245" width="10.28515625" style="22" bestFit="1" customWidth="1"/>
    <col min="10246" max="10246" width="12.140625" style="22" customWidth="1"/>
    <col min="10247" max="10247" width="10.7109375" style="22" customWidth="1"/>
    <col min="10248" max="10250" width="10.28515625" style="22" customWidth="1"/>
    <col min="10251" max="10251" width="9.5703125" style="22" customWidth="1"/>
    <col min="10252" max="10252" width="10.42578125" style="22" customWidth="1"/>
    <col min="10253" max="10253" width="9.140625" style="22"/>
    <col min="10254" max="10254" width="10.42578125" style="22" bestFit="1" customWidth="1"/>
    <col min="10255" max="10494" width="9.140625" style="22"/>
    <col min="10495" max="10495" width="4.28515625" style="22" customWidth="1"/>
    <col min="10496" max="10496" width="8.85546875" style="22" customWidth="1"/>
    <col min="10497" max="10497" width="60.5703125" style="22" customWidth="1"/>
    <col min="10498" max="10498" width="5.85546875" style="22" customWidth="1"/>
    <col min="10499" max="10499" width="12.140625" style="22" customWidth="1"/>
    <col min="10500" max="10500" width="11.5703125" style="22" customWidth="1"/>
    <col min="10501" max="10501" width="10.28515625" style="22" bestFit="1" customWidth="1"/>
    <col min="10502" max="10502" width="12.140625" style="22" customWidth="1"/>
    <col min="10503" max="10503" width="10.7109375" style="22" customWidth="1"/>
    <col min="10504" max="10506" width="10.28515625" style="22" customWidth="1"/>
    <col min="10507" max="10507" width="9.5703125" style="22" customWidth="1"/>
    <col min="10508" max="10508" width="10.42578125" style="22" customWidth="1"/>
    <col min="10509" max="10509" width="9.140625" style="22"/>
    <col min="10510" max="10510" width="10.42578125" style="22" bestFit="1" customWidth="1"/>
    <col min="10511" max="10750" width="9.140625" style="22"/>
    <col min="10751" max="10751" width="4.28515625" style="22" customWidth="1"/>
    <col min="10752" max="10752" width="8.85546875" style="22" customWidth="1"/>
    <col min="10753" max="10753" width="60.5703125" style="22" customWidth="1"/>
    <col min="10754" max="10754" width="5.85546875" style="22" customWidth="1"/>
    <col min="10755" max="10755" width="12.140625" style="22" customWidth="1"/>
    <col min="10756" max="10756" width="11.5703125" style="22" customWidth="1"/>
    <col min="10757" max="10757" width="10.28515625" style="22" bestFit="1" customWidth="1"/>
    <col min="10758" max="10758" width="12.140625" style="22" customWidth="1"/>
    <col min="10759" max="10759" width="10.7109375" style="22" customWidth="1"/>
    <col min="10760" max="10762" width="10.28515625" style="22" customWidth="1"/>
    <col min="10763" max="10763" width="9.5703125" style="22" customWidth="1"/>
    <col min="10764" max="10764" width="10.42578125" style="22" customWidth="1"/>
    <col min="10765" max="10765" width="9.140625" style="22"/>
    <col min="10766" max="10766" width="10.42578125" style="22" bestFit="1" customWidth="1"/>
    <col min="10767" max="11006" width="9.140625" style="22"/>
    <col min="11007" max="11007" width="4.28515625" style="22" customWidth="1"/>
    <col min="11008" max="11008" width="8.85546875" style="22" customWidth="1"/>
    <col min="11009" max="11009" width="60.5703125" style="22" customWidth="1"/>
    <col min="11010" max="11010" width="5.85546875" style="22" customWidth="1"/>
    <col min="11011" max="11011" width="12.140625" style="22" customWidth="1"/>
    <col min="11012" max="11012" width="11.5703125" style="22" customWidth="1"/>
    <col min="11013" max="11013" width="10.28515625" style="22" bestFit="1" customWidth="1"/>
    <col min="11014" max="11014" width="12.140625" style="22" customWidth="1"/>
    <col min="11015" max="11015" width="10.7109375" style="22" customWidth="1"/>
    <col min="11016" max="11018" width="10.28515625" style="22" customWidth="1"/>
    <col min="11019" max="11019" width="9.5703125" style="22" customWidth="1"/>
    <col min="11020" max="11020" width="10.42578125" style="22" customWidth="1"/>
    <col min="11021" max="11021" width="9.140625" style="22"/>
    <col min="11022" max="11022" width="10.42578125" style="22" bestFit="1" customWidth="1"/>
    <col min="11023" max="11262" width="9.140625" style="22"/>
    <col min="11263" max="11263" width="4.28515625" style="22" customWidth="1"/>
    <col min="11264" max="11264" width="8.85546875" style="22" customWidth="1"/>
    <col min="11265" max="11265" width="60.5703125" style="22" customWidth="1"/>
    <col min="11266" max="11266" width="5.85546875" style="22" customWidth="1"/>
    <col min="11267" max="11267" width="12.140625" style="22" customWidth="1"/>
    <col min="11268" max="11268" width="11.5703125" style="22" customWidth="1"/>
    <col min="11269" max="11269" width="10.28515625" style="22" bestFit="1" customWidth="1"/>
    <col min="11270" max="11270" width="12.140625" style="22" customWidth="1"/>
    <col min="11271" max="11271" width="10.7109375" style="22" customWidth="1"/>
    <col min="11272" max="11274" width="10.28515625" style="22" customWidth="1"/>
    <col min="11275" max="11275" width="9.5703125" style="22" customWidth="1"/>
    <col min="11276" max="11276" width="10.42578125" style="22" customWidth="1"/>
    <col min="11277" max="11277" width="9.140625" style="22"/>
    <col min="11278" max="11278" width="10.42578125" style="22" bestFit="1" customWidth="1"/>
    <col min="11279" max="11518" width="9.140625" style="22"/>
    <col min="11519" max="11519" width="4.28515625" style="22" customWidth="1"/>
    <col min="11520" max="11520" width="8.85546875" style="22" customWidth="1"/>
    <col min="11521" max="11521" width="60.5703125" style="22" customWidth="1"/>
    <col min="11522" max="11522" width="5.85546875" style="22" customWidth="1"/>
    <col min="11523" max="11523" width="12.140625" style="22" customWidth="1"/>
    <col min="11524" max="11524" width="11.5703125" style="22" customWidth="1"/>
    <col min="11525" max="11525" width="10.28515625" style="22" bestFit="1" customWidth="1"/>
    <col min="11526" max="11526" width="12.140625" style="22" customWidth="1"/>
    <col min="11527" max="11527" width="10.7109375" style="22" customWidth="1"/>
    <col min="11528" max="11530" width="10.28515625" style="22" customWidth="1"/>
    <col min="11531" max="11531" width="9.5703125" style="22" customWidth="1"/>
    <col min="11532" max="11532" width="10.42578125" style="22" customWidth="1"/>
    <col min="11533" max="11533" width="9.140625" style="22"/>
    <col min="11534" max="11534" width="10.42578125" style="22" bestFit="1" customWidth="1"/>
    <col min="11535" max="11774" width="9.140625" style="22"/>
    <col min="11775" max="11775" width="4.28515625" style="22" customWidth="1"/>
    <col min="11776" max="11776" width="8.85546875" style="22" customWidth="1"/>
    <col min="11777" max="11777" width="60.5703125" style="22" customWidth="1"/>
    <col min="11778" max="11778" width="5.85546875" style="22" customWidth="1"/>
    <col min="11779" max="11779" width="12.140625" style="22" customWidth="1"/>
    <col min="11780" max="11780" width="11.5703125" style="22" customWidth="1"/>
    <col min="11781" max="11781" width="10.28515625" style="22" bestFit="1" customWidth="1"/>
    <col min="11782" max="11782" width="12.140625" style="22" customWidth="1"/>
    <col min="11783" max="11783" width="10.7109375" style="22" customWidth="1"/>
    <col min="11784" max="11786" width="10.28515625" style="22" customWidth="1"/>
    <col min="11787" max="11787" width="9.5703125" style="22" customWidth="1"/>
    <col min="11788" max="11788" width="10.42578125" style="22" customWidth="1"/>
    <col min="11789" max="11789" width="9.140625" style="22"/>
    <col min="11790" max="11790" width="10.42578125" style="22" bestFit="1" customWidth="1"/>
    <col min="11791" max="12030" width="9.140625" style="22"/>
    <col min="12031" max="12031" width="4.28515625" style="22" customWidth="1"/>
    <col min="12032" max="12032" width="8.85546875" style="22" customWidth="1"/>
    <col min="12033" max="12033" width="60.5703125" style="22" customWidth="1"/>
    <col min="12034" max="12034" width="5.85546875" style="22" customWidth="1"/>
    <col min="12035" max="12035" width="12.140625" style="22" customWidth="1"/>
    <col min="12036" max="12036" width="11.5703125" style="22" customWidth="1"/>
    <col min="12037" max="12037" width="10.28515625" style="22" bestFit="1" customWidth="1"/>
    <col min="12038" max="12038" width="12.140625" style="22" customWidth="1"/>
    <col min="12039" max="12039" width="10.7109375" style="22" customWidth="1"/>
    <col min="12040" max="12042" width="10.28515625" style="22" customWidth="1"/>
    <col min="12043" max="12043" width="9.5703125" style="22" customWidth="1"/>
    <col min="12044" max="12044" width="10.42578125" style="22" customWidth="1"/>
    <col min="12045" max="12045" width="9.140625" style="22"/>
    <col min="12046" max="12046" width="10.42578125" style="22" bestFit="1" customWidth="1"/>
    <col min="12047" max="12286" width="9.140625" style="22"/>
    <col min="12287" max="12287" width="4.28515625" style="22" customWidth="1"/>
    <col min="12288" max="12288" width="8.85546875" style="22" customWidth="1"/>
    <col min="12289" max="12289" width="60.5703125" style="22" customWidth="1"/>
    <col min="12290" max="12290" width="5.85546875" style="22" customWidth="1"/>
    <col min="12291" max="12291" width="12.140625" style="22" customWidth="1"/>
    <col min="12292" max="12292" width="11.5703125" style="22" customWidth="1"/>
    <col min="12293" max="12293" width="10.28515625" style="22" bestFit="1" customWidth="1"/>
    <col min="12294" max="12294" width="12.140625" style="22" customWidth="1"/>
    <col min="12295" max="12295" width="10.7109375" style="22" customWidth="1"/>
    <col min="12296" max="12298" width="10.28515625" style="22" customWidth="1"/>
    <col min="12299" max="12299" width="9.5703125" style="22" customWidth="1"/>
    <col min="12300" max="12300" width="10.42578125" style="22" customWidth="1"/>
    <col min="12301" max="12301" width="9.140625" style="22"/>
    <col min="12302" max="12302" width="10.42578125" style="22" bestFit="1" customWidth="1"/>
    <col min="12303" max="12542" width="9.140625" style="22"/>
    <col min="12543" max="12543" width="4.28515625" style="22" customWidth="1"/>
    <col min="12544" max="12544" width="8.85546875" style="22" customWidth="1"/>
    <col min="12545" max="12545" width="60.5703125" style="22" customWidth="1"/>
    <col min="12546" max="12546" width="5.85546875" style="22" customWidth="1"/>
    <col min="12547" max="12547" width="12.140625" style="22" customWidth="1"/>
    <col min="12548" max="12548" width="11.5703125" style="22" customWidth="1"/>
    <col min="12549" max="12549" width="10.28515625" style="22" bestFit="1" customWidth="1"/>
    <col min="12550" max="12550" width="12.140625" style="22" customWidth="1"/>
    <col min="12551" max="12551" width="10.7109375" style="22" customWidth="1"/>
    <col min="12552" max="12554" width="10.28515625" style="22" customWidth="1"/>
    <col min="12555" max="12555" width="9.5703125" style="22" customWidth="1"/>
    <col min="12556" max="12556" width="10.42578125" style="22" customWidth="1"/>
    <col min="12557" max="12557" width="9.140625" style="22"/>
    <col min="12558" max="12558" width="10.42578125" style="22" bestFit="1" customWidth="1"/>
    <col min="12559" max="12798" width="9.140625" style="22"/>
    <col min="12799" max="12799" width="4.28515625" style="22" customWidth="1"/>
    <col min="12800" max="12800" width="8.85546875" style="22" customWidth="1"/>
    <col min="12801" max="12801" width="60.5703125" style="22" customWidth="1"/>
    <col min="12802" max="12802" width="5.85546875" style="22" customWidth="1"/>
    <col min="12803" max="12803" width="12.140625" style="22" customWidth="1"/>
    <col min="12804" max="12804" width="11.5703125" style="22" customWidth="1"/>
    <col min="12805" max="12805" width="10.28515625" style="22" bestFit="1" customWidth="1"/>
    <col min="12806" max="12806" width="12.140625" style="22" customWidth="1"/>
    <col min="12807" max="12807" width="10.7109375" style="22" customWidth="1"/>
    <col min="12808" max="12810" width="10.28515625" style="22" customWidth="1"/>
    <col min="12811" max="12811" width="9.5703125" style="22" customWidth="1"/>
    <col min="12812" max="12812" width="10.42578125" style="22" customWidth="1"/>
    <col min="12813" max="12813" width="9.140625" style="22"/>
    <col min="12814" max="12814" width="10.42578125" style="22" bestFit="1" customWidth="1"/>
    <col min="12815" max="13054" width="9.140625" style="22"/>
    <col min="13055" max="13055" width="4.28515625" style="22" customWidth="1"/>
    <col min="13056" max="13056" width="8.85546875" style="22" customWidth="1"/>
    <col min="13057" max="13057" width="60.5703125" style="22" customWidth="1"/>
    <col min="13058" max="13058" width="5.85546875" style="22" customWidth="1"/>
    <col min="13059" max="13059" width="12.140625" style="22" customWidth="1"/>
    <col min="13060" max="13060" width="11.5703125" style="22" customWidth="1"/>
    <col min="13061" max="13061" width="10.28515625" style="22" bestFit="1" customWidth="1"/>
    <col min="13062" max="13062" width="12.140625" style="22" customWidth="1"/>
    <col min="13063" max="13063" width="10.7109375" style="22" customWidth="1"/>
    <col min="13064" max="13066" width="10.28515625" style="22" customWidth="1"/>
    <col min="13067" max="13067" width="9.5703125" style="22" customWidth="1"/>
    <col min="13068" max="13068" width="10.42578125" style="22" customWidth="1"/>
    <col min="13069" max="13069" width="9.140625" style="22"/>
    <col min="13070" max="13070" width="10.42578125" style="22" bestFit="1" customWidth="1"/>
    <col min="13071" max="13310" width="9.140625" style="22"/>
    <col min="13311" max="13311" width="4.28515625" style="22" customWidth="1"/>
    <col min="13312" max="13312" width="8.85546875" style="22" customWidth="1"/>
    <col min="13313" max="13313" width="60.5703125" style="22" customWidth="1"/>
    <col min="13314" max="13314" width="5.85546875" style="22" customWidth="1"/>
    <col min="13315" max="13315" width="12.140625" style="22" customWidth="1"/>
    <col min="13316" max="13316" width="11.5703125" style="22" customWidth="1"/>
    <col min="13317" max="13317" width="10.28515625" style="22" bestFit="1" customWidth="1"/>
    <col min="13318" max="13318" width="12.140625" style="22" customWidth="1"/>
    <col min="13319" max="13319" width="10.7109375" style="22" customWidth="1"/>
    <col min="13320" max="13322" width="10.28515625" style="22" customWidth="1"/>
    <col min="13323" max="13323" width="9.5703125" style="22" customWidth="1"/>
    <col min="13324" max="13324" width="10.42578125" style="22" customWidth="1"/>
    <col min="13325" max="13325" width="9.140625" style="22"/>
    <col min="13326" max="13326" width="10.42578125" style="22" bestFit="1" customWidth="1"/>
    <col min="13327" max="13566" width="9.140625" style="22"/>
    <col min="13567" max="13567" width="4.28515625" style="22" customWidth="1"/>
    <col min="13568" max="13568" width="8.85546875" style="22" customWidth="1"/>
    <col min="13569" max="13569" width="60.5703125" style="22" customWidth="1"/>
    <col min="13570" max="13570" width="5.85546875" style="22" customWidth="1"/>
    <col min="13571" max="13571" width="12.140625" style="22" customWidth="1"/>
    <col min="13572" max="13572" width="11.5703125" style="22" customWidth="1"/>
    <col min="13573" max="13573" width="10.28515625" style="22" bestFit="1" customWidth="1"/>
    <col min="13574" max="13574" width="12.140625" style="22" customWidth="1"/>
    <col min="13575" max="13575" width="10.7109375" style="22" customWidth="1"/>
    <col min="13576" max="13578" width="10.28515625" style="22" customWidth="1"/>
    <col min="13579" max="13579" width="9.5703125" style="22" customWidth="1"/>
    <col min="13580" max="13580" width="10.42578125" style="22" customWidth="1"/>
    <col min="13581" max="13581" width="9.140625" style="22"/>
    <col min="13582" max="13582" width="10.42578125" style="22" bestFit="1" customWidth="1"/>
    <col min="13583" max="13822" width="9.140625" style="22"/>
    <col min="13823" max="13823" width="4.28515625" style="22" customWidth="1"/>
    <col min="13824" max="13824" width="8.85546875" style="22" customWidth="1"/>
    <col min="13825" max="13825" width="60.5703125" style="22" customWidth="1"/>
    <col min="13826" max="13826" width="5.85546875" style="22" customWidth="1"/>
    <col min="13827" max="13827" width="12.140625" style="22" customWidth="1"/>
    <col min="13828" max="13828" width="11.5703125" style="22" customWidth="1"/>
    <col min="13829" max="13829" width="10.28515625" style="22" bestFit="1" customWidth="1"/>
    <col min="13830" max="13830" width="12.140625" style="22" customWidth="1"/>
    <col min="13831" max="13831" width="10.7109375" style="22" customWidth="1"/>
    <col min="13832" max="13834" width="10.28515625" style="22" customWidth="1"/>
    <col min="13835" max="13835" width="9.5703125" style="22" customWidth="1"/>
    <col min="13836" max="13836" width="10.42578125" style="22" customWidth="1"/>
    <col min="13837" max="13837" width="9.140625" style="22"/>
    <col min="13838" max="13838" width="10.42578125" style="22" bestFit="1" customWidth="1"/>
    <col min="13839" max="14078" width="9.140625" style="22"/>
    <col min="14079" max="14079" width="4.28515625" style="22" customWidth="1"/>
    <col min="14080" max="14080" width="8.85546875" style="22" customWidth="1"/>
    <col min="14081" max="14081" width="60.5703125" style="22" customWidth="1"/>
    <col min="14082" max="14082" width="5.85546875" style="22" customWidth="1"/>
    <col min="14083" max="14083" width="12.140625" style="22" customWidth="1"/>
    <col min="14084" max="14084" width="11.5703125" style="22" customWidth="1"/>
    <col min="14085" max="14085" width="10.28515625" style="22" bestFit="1" customWidth="1"/>
    <col min="14086" max="14086" width="12.140625" style="22" customWidth="1"/>
    <col min="14087" max="14087" width="10.7109375" style="22" customWidth="1"/>
    <col min="14088" max="14090" width="10.28515625" style="22" customWidth="1"/>
    <col min="14091" max="14091" width="9.5703125" style="22" customWidth="1"/>
    <col min="14092" max="14092" width="10.42578125" style="22" customWidth="1"/>
    <col min="14093" max="14093" width="9.140625" style="22"/>
    <col min="14094" max="14094" width="10.42578125" style="22" bestFit="1" customWidth="1"/>
    <col min="14095" max="14334" width="9.140625" style="22"/>
    <col min="14335" max="14335" width="4.28515625" style="22" customWidth="1"/>
    <col min="14336" max="14336" width="8.85546875" style="22" customWidth="1"/>
    <col min="14337" max="14337" width="60.5703125" style="22" customWidth="1"/>
    <col min="14338" max="14338" width="5.85546875" style="22" customWidth="1"/>
    <col min="14339" max="14339" width="12.140625" style="22" customWidth="1"/>
    <col min="14340" max="14340" width="11.5703125" style="22" customWidth="1"/>
    <col min="14341" max="14341" width="10.28515625" style="22" bestFit="1" customWidth="1"/>
    <col min="14342" max="14342" width="12.140625" style="22" customWidth="1"/>
    <col min="14343" max="14343" width="10.7109375" style="22" customWidth="1"/>
    <col min="14344" max="14346" width="10.28515625" style="22" customWidth="1"/>
    <col min="14347" max="14347" width="9.5703125" style="22" customWidth="1"/>
    <col min="14348" max="14348" width="10.42578125" style="22" customWidth="1"/>
    <col min="14349" max="14349" width="9.140625" style="22"/>
    <col min="14350" max="14350" width="10.42578125" style="22" bestFit="1" customWidth="1"/>
    <col min="14351" max="14590" width="9.140625" style="22"/>
    <col min="14591" max="14591" width="4.28515625" style="22" customWidth="1"/>
    <col min="14592" max="14592" width="8.85546875" style="22" customWidth="1"/>
    <col min="14593" max="14593" width="60.5703125" style="22" customWidth="1"/>
    <col min="14594" max="14594" width="5.85546875" style="22" customWidth="1"/>
    <col min="14595" max="14595" width="12.140625" style="22" customWidth="1"/>
    <col min="14596" max="14596" width="11.5703125" style="22" customWidth="1"/>
    <col min="14597" max="14597" width="10.28515625" style="22" bestFit="1" customWidth="1"/>
    <col min="14598" max="14598" width="12.140625" style="22" customWidth="1"/>
    <col min="14599" max="14599" width="10.7109375" style="22" customWidth="1"/>
    <col min="14600" max="14602" width="10.28515625" style="22" customWidth="1"/>
    <col min="14603" max="14603" width="9.5703125" style="22" customWidth="1"/>
    <col min="14604" max="14604" width="10.42578125" style="22" customWidth="1"/>
    <col min="14605" max="14605" width="9.140625" style="22"/>
    <col min="14606" max="14606" width="10.42578125" style="22" bestFit="1" customWidth="1"/>
    <col min="14607" max="14846" width="9.140625" style="22"/>
    <col min="14847" max="14847" width="4.28515625" style="22" customWidth="1"/>
    <col min="14848" max="14848" width="8.85546875" style="22" customWidth="1"/>
    <col min="14849" max="14849" width="60.5703125" style="22" customWidth="1"/>
    <col min="14850" max="14850" width="5.85546875" style="22" customWidth="1"/>
    <col min="14851" max="14851" width="12.140625" style="22" customWidth="1"/>
    <col min="14852" max="14852" width="11.5703125" style="22" customWidth="1"/>
    <col min="14853" max="14853" width="10.28515625" style="22" bestFit="1" customWidth="1"/>
    <col min="14854" max="14854" width="12.140625" style="22" customWidth="1"/>
    <col min="14855" max="14855" width="10.7109375" style="22" customWidth="1"/>
    <col min="14856" max="14858" width="10.28515625" style="22" customWidth="1"/>
    <col min="14859" max="14859" width="9.5703125" style="22" customWidth="1"/>
    <col min="14860" max="14860" width="10.42578125" style="22" customWidth="1"/>
    <col min="14861" max="14861" width="9.140625" style="22"/>
    <col min="14862" max="14862" width="10.42578125" style="22" bestFit="1" customWidth="1"/>
    <col min="14863" max="15102" width="9.140625" style="22"/>
    <col min="15103" max="15103" width="4.28515625" style="22" customWidth="1"/>
    <col min="15104" max="15104" width="8.85546875" style="22" customWidth="1"/>
    <col min="15105" max="15105" width="60.5703125" style="22" customWidth="1"/>
    <col min="15106" max="15106" width="5.85546875" style="22" customWidth="1"/>
    <col min="15107" max="15107" width="12.140625" style="22" customWidth="1"/>
    <col min="15108" max="15108" width="11.5703125" style="22" customWidth="1"/>
    <col min="15109" max="15109" width="10.28515625" style="22" bestFit="1" customWidth="1"/>
    <col min="15110" max="15110" width="12.140625" style="22" customWidth="1"/>
    <col min="15111" max="15111" width="10.7109375" style="22" customWidth="1"/>
    <col min="15112" max="15114" width="10.28515625" style="22" customWidth="1"/>
    <col min="15115" max="15115" width="9.5703125" style="22" customWidth="1"/>
    <col min="15116" max="15116" width="10.42578125" style="22" customWidth="1"/>
    <col min="15117" max="15117" width="9.140625" style="22"/>
    <col min="15118" max="15118" width="10.42578125" style="22" bestFit="1" customWidth="1"/>
    <col min="15119" max="15358" width="9.140625" style="22"/>
    <col min="15359" max="15359" width="4.28515625" style="22" customWidth="1"/>
    <col min="15360" max="15360" width="8.85546875" style="22" customWidth="1"/>
    <col min="15361" max="15361" width="60.5703125" style="22" customWidth="1"/>
    <col min="15362" max="15362" width="5.85546875" style="22" customWidth="1"/>
    <col min="15363" max="15363" width="12.140625" style="22" customWidth="1"/>
    <col min="15364" max="15364" width="11.5703125" style="22" customWidth="1"/>
    <col min="15365" max="15365" width="10.28515625" style="22" bestFit="1" customWidth="1"/>
    <col min="15366" max="15366" width="12.140625" style="22" customWidth="1"/>
    <col min="15367" max="15367" width="10.7109375" style="22" customWidth="1"/>
    <col min="15368" max="15370" width="10.28515625" style="22" customWidth="1"/>
    <col min="15371" max="15371" width="9.5703125" style="22" customWidth="1"/>
    <col min="15372" max="15372" width="10.42578125" style="22" customWidth="1"/>
    <col min="15373" max="15373" width="9.140625" style="22"/>
    <col min="15374" max="15374" width="10.42578125" style="22" bestFit="1" customWidth="1"/>
    <col min="15375" max="15614" width="9.140625" style="22"/>
    <col min="15615" max="15615" width="4.28515625" style="22" customWidth="1"/>
    <col min="15616" max="15616" width="8.85546875" style="22" customWidth="1"/>
    <col min="15617" max="15617" width="60.5703125" style="22" customWidth="1"/>
    <col min="15618" max="15618" width="5.85546875" style="22" customWidth="1"/>
    <col min="15619" max="15619" width="12.140625" style="22" customWidth="1"/>
    <col min="15620" max="15620" width="11.5703125" style="22" customWidth="1"/>
    <col min="15621" max="15621" width="10.28515625" style="22" bestFit="1" customWidth="1"/>
    <col min="15622" max="15622" width="12.140625" style="22" customWidth="1"/>
    <col min="15623" max="15623" width="10.7109375" style="22" customWidth="1"/>
    <col min="15624" max="15626" width="10.28515625" style="22" customWidth="1"/>
    <col min="15627" max="15627" width="9.5703125" style="22" customWidth="1"/>
    <col min="15628" max="15628" width="10.42578125" style="22" customWidth="1"/>
    <col min="15629" max="15629" width="9.140625" style="22"/>
    <col min="15630" max="15630" width="10.42578125" style="22" bestFit="1" customWidth="1"/>
    <col min="15631" max="15870" width="9.140625" style="22"/>
    <col min="15871" max="15871" width="4.28515625" style="22" customWidth="1"/>
    <col min="15872" max="15872" width="8.85546875" style="22" customWidth="1"/>
    <col min="15873" max="15873" width="60.5703125" style="22" customWidth="1"/>
    <col min="15874" max="15874" width="5.85546875" style="22" customWidth="1"/>
    <col min="15875" max="15875" width="12.140625" style="22" customWidth="1"/>
    <col min="15876" max="15876" width="11.5703125" style="22" customWidth="1"/>
    <col min="15877" max="15877" width="10.28515625" style="22" bestFit="1" customWidth="1"/>
    <col min="15878" max="15878" width="12.140625" style="22" customWidth="1"/>
    <col min="15879" max="15879" width="10.7109375" style="22" customWidth="1"/>
    <col min="15880" max="15882" width="10.28515625" style="22" customWidth="1"/>
    <col min="15883" max="15883" width="9.5703125" style="22" customWidth="1"/>
    <col min="15884" max="15884" width="10.42578125" style="22" customWidth="1"/>
    <col min="15885" max="15885" width="9.140625" style="22"/>
    <col min="15886" max="15886" width="10.42578125" style="22" bestFit="1" customWidth="1"/>
    <col min="15887" max="16126" width="9.140625" style="22"/>
    <col min="16127" max="16127" width="4.28515625" style="22" customWidth="1"/>
    <col min="16128" max="16128" width="8.85546875" style="22" customWidth="1"/>
    <col min="16129" max="16129" width="60.5703125" style="22" customWidth="1"/>
    <col min="16130" max="16130" width="5.85546875" style="22" customWidth="1"/>
    <col min="16131" max="16131" width="12.140625" style="22" customWidth="1"/>
    <col min="16132" max="16132" width="11.5703125" style="22" customWidth="1"/>
    <col min="16133" max="16133" width="10.28515625" style="22" bestFit="1" customWidth="1"/>
    <col min="16134" max="16134" width="12.140625" style="22" customWidth="1"/>
    <col min="16135" max="16135" width="10.7109375" style="22" customWidth="1"/>
    <col min="16136" max="16138" width="10.28515625" style="22" customWidth="1"/>
    <col min="16139" max="16139" width="9.5703125" style="22" customWidth="1"/>
    <col min="16140" max="16140" width="10.42578125" style="22" customWidth="1"/>
    <col min="16141" max="16141" width="9.140625" style="22"/>
    <col min="16142" max="16142" width="10.42578125" style="22" bestFit="1" customWidth="1"/>
    <col min="16143" max="16384" width="9.140625" style="22"/>
  </cols>
  <sheetData>
    <row r="1" spans="1:17" ht="69.75" customHeight="1">
      <c r="L1" s="399" t="s">
        <v>506</v>
      </c>
      <c r="M1" s="399"/>
      <c r="N1" s="333"/>
      <c r="O1" s="333"/>
      <c r="Q1" s="3"/>
    </row>
    <row r="2" spans="1:17">
      <c r="Q2" s="1"/>
    </row>
    <row r="3" spans="1:17">
      <c r="Q3" s="3"/>
    </row>
    <row r="4" spans="1:17" ht="15.6" customHeight="1">
      <c r="A4" s="389" t="s">
        <v>325</v>
      </c>
      <c r="B4" s="389"/>
      <c r="C4" s="389"/>
      <c r="D4" s="389"/>
      <c r="E4" s="389"/>
      <c r="F4" s="389"/>
      <c r="G4" s="389"/>
      <c r="H4" s="389"/>
      <c r="I4" s="389"/>
      <c r="J4" s="389"/>
      <c r="K4" s="389"/>
      <c r="L4" s="389"/>
      <c r="M4" s="389"/>
      <c r="Q4" s="3"/>
    </row>
    <row r="5" spans="1:17">
      <c r="Q5" s="21"/>
    </row>
    <row r="6" spans="1:17" ht="25.9" customHeight="1">
      <c r="A6" s="381" t="s">
        <v>0</v>
      </c>
      <c r="B6" s="381" t="s">
        <v>1</v>
      </c>
      <c r="C6" s="390" t="s">
        <v>2</v>
      </c>
      <c r="D6" s="390"/>
      <c r="E6" s="404" t="s">
        <v>173</v>
      </c>
      <c r="F6" s="404" t="s">
        <v>188</v>
      </c>
      <c r="G6" s="404" t="s">
        <v>187</v>
      </c>
      <c r="H6" s="404" t="s">
        <v>220</v>
      </c>
      <c r="I6" s="397" t="s">
        <v>326</v>
      </c>
      <c r="J6" s="397" t="s">
        <v>327</v>
      </c>
      <c r="K6" s="397" t="s">
        <v>339</v>
      </c>
      <c r="L6" s="397" t="s">
        <v>340</v>
      </c>
      <c r="M6" s="397" t="s">
        <v>328</v>
      </c>
    </row>
    <row r="7" spans="1:17" ht="42" customHeight="1">
      <c r="A7" s="382"/>
      <c r="B7" s="382"/>
      <c r="C7" s="391"/>
      <c r="D7" s="391"/>
      <c r="E7" s="405"/>
      <c r="F7" s="405"/>
      <c r="G7" s="405"/>
      <c r="H7" s="405"/>
      <c r="I7" s="398"/>
      <c r="J7" s="398"/>
      <c r="K7" s="398"/>
      <c r="L7" s="398"/>
      <c r="M7" s="398"/>
    </row>
    <row r="8" spans="1:17">
      <c r="A8" s="29">
        <v>1</v>
      </c>
      <c r="B8" s="29">
        <v>2</v>
      </c>
      <c r="C8" s="30">
        <v>3</v>
      </c>
      <c r="D8" s="30">
        <v>4</v>
      </c>
      <c r="E8" s="30">
        <v>5</v>
      </c>
      <c r="F8" s="30">
        <v>6</v>
      </c>
      <c r="G8" s="30">
        <v>7</v>
      </c>
      <c r="H8" s="30">
        <v>8</v>
      </c>
      <c r="I8" s="400">
        <v>9</v>
      </c>
      <c r="J8" s="401"/>
      <c r="K8" s="402">
        <v>10</v>
      </c>
      <c r="L8" s="402"/>
      <c r="M8" s="403"/>
    </row>
    <row r="9" spans="1:17" ht="24.75" customHeight="1">
      <c r="A9" s="31">
        <v>1</v>
      </c>
      <c r="B9" s="32">
        <v>11111</v>
      </c>
      <c r="C9" s="33" t="s">
        <v>93</v>
      </c>
      <c r="D9" s="34">
        <v>90</v>
      </c>
      <c r="E9" s="36">
        <f>484634.77118+3880.7556</f>
        <v>488515.52677999996</v>
      </c>
      <c r="F9" s="36">
        <v>545088.6</v>
      </c>
      <c r="G9" s="36">
        <v>590708</v>
      </c>
      <c r="H9" s="36">
        <f>619839.13107+4592.63765</f>
        <v>624431.76872000005</v>
      </c>
      <c r="I9" s="37">
        <v>562429</v>
      </c>
      <c r="J9" s="37">
        <f>604829+8000</f>
        <v>612829</v>
      </c>
      <c r="K9" s="37">
        <f>662829+10000+10000</f>
        <v>682829</v>
      </c>
      <c r="L9" s="37">
        <f>662829+10000+10000+25000</f>
        <v>707829</v>
      </c>
      <c r="M9" s="37">
        <f>L9-K9</f>
        <v>25000</v>
      </c>
    </row>
    <row r="10" spans="1:17">
      <c r="A10" s="31">
        <v>2</v>
      </c>
      <c r="B10" s="31">
        <v>11122100</v>
      </c>
      <c r="C10" s="39" t="s">
        <v>69</v>
      </c>
      <c r="D10" s="34">
        <v>100</v>
      </c>
      <c r="E10" s="36">
        <v>13.548</v>
      </c>
      <c r="F10" s="36"/>
      <c r="G10" s="36"/>
      <c r="H10" s="36">
        <v>-1.04</v>
      </c>
      <c r="I10" s="37"/>
      <c r="J10" s="37"/>
      <c r="K10" s="37"/>
      <c r="L10" s="37"/>
      <c r="M10" s="37"/>
    </row>
    <row r="11" spans="1:17">
      <c r="A11" s="31">
        <v>3</v>
      </c>
      <c r="B11" s="31">
        <v>11122200</v>
      </c>
      <c r="C11" s="39" t="s">
        <v>70</v>
      </c>
      <c r="D11" s="34">
        <v>100</v>
      </c>
      <c r="E11" s="36">
        <v>0</v>
      </c>
      <c r="F11" s="36"/>
      <c r="G11" s="36"/>
      <c r="H11" s="36"/>
      <c r="I11" s="37"/>
      <c r="J11" s="37"/>
      <c r="K11" s="37"/>
      <c r="L11" s="37"/>
      <c r="M11" s="37"/>
    </row>
    <row r="12" spans="1:17">
      <c r="A12" s="31">
        <v>4</v>
      </c>
      <c r="B12" s="31">
        <v>11122300</v>
      </c>
      <c r="C12" s="39" t="s">
        <v>94</v>
      </c>
      <c r="D12" s="34">
        <v>100</v>
      </c>
      <c r="E12" s="36">
        <v>56591.808539999998</v>
      </c>
      <c r="F12" s="36">
        <v>76414.600000000006</v>
      </c>
      <c r="G12" s="36">
        <v>76414.600000000006</v>
      </c>
      <c r="H12" s="36">
        <v>28711.7781</v>
      </c>
      <c r="I12" s="37">
        <v>49500</v>
      </c>
      <c r="J12" s="37">
        <v>49500</v>
      </c>
      <c r="K12" s="37">
        <v>49500</v>
      </c>
      <c r="L12" s="37">
        <v>49500</v>
      </c>
      <c r="M12" s="37">
        <f>L12-K12</f>
        <v>0</v>
      </c>
    </row>
    <row r="13" spans="1:17" ht="25.5">
      <c r="A13" s="31">
        <v>5</v>
      </c>
      <c r="B13" s="31">
        <v>11125100</v>
      </c>
      <c r="C13" s="45" t="s">
        <v>225</v>
      </c>
      <c r="D13" s="34"/>
      <c r="E13" s="36">
        <v>0</v>
      </c>
      <c r="F13" s="36"/>
      <c r="G13" s="36"/>
      <c r="H13" s="36">
        <v>1.7103299999999999</v>
      </c>
      <c r="I13" s="37"/>
      <c r="J13" s="37"/>
      <c r="K13" s="37"/>
      <c r="L13" s="37"/>
      <c r="M13" s="38"/>
    </row>
    <row r="14" spans="1:17">
      <c r="A14" s="31">
        <v>6</v>
      </c>
      <c r="B14" s="32">
        <v>11462</v>
      </c>
      <c r="C14" s="39" t="s">
        <v>4</v>
      </c>
      <c r="D14" s="34">
        <v>50</v>
      </c>
      <c r="E14" s="36">
        <f>21.5+34.36865+1940.475</f>
        <v>1996.3436499999998</v>
      </c>
      <c r="F14" s="36">
        <v>2200</v>
      </c>
      <c r="G14" s="36">
        <v>2200</v>
      </c>
      <c r="H14" s="36">
        <f>136.1755+0.40869+58.3655-21.5+39.05895+2319.63241</f>
        <v>2532.1410500000002</v>
      </c>
      <c r="I14" s="151">
        <v>3330.4</v>
      </c>
      <c r="J14" s="36">
        <v>3330.4</v>
      </c>
      <c r="K14" s="36">
        <v>3330.4</v>
      </c>
      <c r="L14" s="36">
        <v>3330.4</v>
      </c>
      <c r="M14" s="37">
        <f>L14-K14</f>
        <v>0</v>
      </c>
    </row>
    <row r="15" spans="1:17" ht="12.75" customHeight="1">
      <c r="A15" s="31"/>
      <c r="B15" s="40"/>
      <c r="C15" s="41" t="s">
        <v>5</v>
      </c>
      <c r="D15" s="41"/>
      <c r="E15" s="43">
        <f t="shared" ref="E15:M15" si="0">SUM(E9:E14)</f>
        <v>547117.22697000008</v>
      </c>
      <c r="F15" s="43">
        <f t="shared" si="0"/>
        <v>623703.19999999995</v>
      </c>
      <c r="G15" s="43">
        <f t="shared" si="0"/>
        <v>669322.6</v>
      </c>
      <c r="H15" s="43">
        <f t="shared" si="0"/>
        <v>655676.35820000002</v>
      </c>
      <c r="I15" s="44">
        <f t="shared" si="0"/>
        <v>615259.4</v>
      </c>
      <c r="J15" s="44">
        <f t="shared" si="0"/>
        <v>665659.4</v>
      </c>
      <c r="K15" s="44">
        <f t="shared" ref="K15:L15" si="1">SUM(K9:K14)</f>
        <v>735659.4</v>
      </c>
      <c r="L15" s="44">
        <f t="shared" si="1"/>
        <v>760659.4</v>
      </c>
      <c r="M15" s="44">
        <f t="shared" si="0"/>
        <v>25000</v>
      </c>
    </row>
    <row r="16" spans="1:17">
      <c r="A16" s="31">
        <v>7</v>
      </c>
      <c r="B16" s="31">
        <v>11311100</v>
      </c>
      <c r="C16" s="39" t="s">
        <v>95</v>
      </c>
      <c r="D16" s="34">
        <v>100</v>
      </c>
      <c r="E16" s="36">
        <v>4360.6565600000004</v>
      </c>
      <c r="F16" s="36">
        <v>4501.8</v>
      </c>
      <c r="G16" s="36">
        <v>12000</v>
      </c>
      <c r="H16" s="36">
        <v>17183.594349999999</v>
      </c>
      <c r="I16" s="37">
        <v>9500</v>
      </c>
      <c r="J16" s="37">
        <f>17200+500</f>
        <v>17700</v>
      </c>
      <c r="K16" s="37">
        <f>17200+500</f>
        <v>17700</v>
      </c>
      <c r="L16" s="37">
        <f>17200+500</f>
        <v>17700</v>
      </c>
      <c r="M16" s="37">
        <f t="shared" ref="M16:M24" si="2">L16-K16</f>
        <v>0</v>
      </c>
    </row>
    <row r="17" spans="1:14">
      <c r="A17" s="31">
        <v>8</v>
      </c>
      <c r="B17" s="31">
        <v>11311200</v>
      </c>
      <c r="C17" s="39" t="s">
        <v>96</v>
      </c>
      <c r="D17" s="34">
        <v>100</v>
      </c>
      <c r="E17" s="36">
        <v>34993.996229999997</v>
      </c>
      <c r="F17" s="36">
        <v>39295.800000000003</v>
      </c>
      <c r="G17" s="36">
        <v>52990</v>
      </c>
      <c r="H17" s="36">
        <v>66110.572450000007</v>
      </c>
      <c r="I17" s="37">
        <v>46300</v>
      </c>
      <c r="J17" s="37">
        <v>66000</v>
      </c>
      <c r="K17" s="37">
        <v>66000</v>
      </c>
      <c r="L17" s="37">
        <v>66000</v>
      </c>
      <c r="M17" s="37">
        <f t="shared" si="2"/>
        <v>0</v>
      </c>
    </row>
    <row r="18" spans="1:14">
      <c r="A18" s="31">
        <v>9</v>
      </c>
      <c r="B18" s="31">
        <v>11311300</v>
      </c>
      <c r="C18" s="39" t="s">
        <v>71</v>
      </c>
      <c r="D18" s="34">
        <v>100</v>
      </c>
      <c r="E18" s="36">
        <v>198.02488</v>
      </c>
      <c r="F18" s="36">
        <v>0</v>
      </c>
      <c r="G18" s="36"/>
      <c r="H18" s="36">
        <v>51.890639999999998</v>
      </c>
      <c r="I18" s="37"/>
      <c r="J18" s="37"/>
      <c r="K18" s="37"/>
      <c r="L18" s="37"/>
      <c r="M18" s="37">
        <f t="shared" si="2"/>
        <v>0</v>
      </c>
    </row>
    <row r="19" spans="1:14">
      <c r="A19" s="31">
        <v>10</v>
      </c>
      <c r="B19" s="32">
        <v>11312</v>
      </c>
      <c r="C19" s="39" t="s">
        <v>72</v>
      </c>
      <c r="D19" s="34">
        <v>100</v>
      </c>
      <c r="E19" s="36">
        <f>1713.92436+10830.81535</f>
        <v>12544.739710000002</v>
      </c>
      <c r="F19" s="36">
        <f>1787.8+14379.2</f>
        <v>16167</v>
      </c>
      <c r="G19" s="36">
        <f>1787.8+14379.2</f>
        <v>16167</v>
      </c>
      <c r="H19" s="36">
        <f>1934.90386+19556.53233</f>
        <v>21491.436189999997</v>
      </c>
      <c r="I19" s="37">
        <v>16300</v>
      </c>
      <c r="J19" s="37">
        <f>21000+4400+2000</f>
        <v>27400</v>
      </c>
      <c r="K19" s="37">
        <f>21000+4400+2000</f>
        <v>27400</v>
      </c>
      <c r="L19" s="37">
        <v>27400</v>
      </c>
      <c r="M19" s="37">
        <f t="shared" si="2"/>
        <v>0</v>
      </c>
    </row>
    <row r="20" spans="1:14" ht="13.5" customHeight="1">
      <c r="A20" s="31">
        <v>11</v>
      </c>
      <c r="B20" s="31">
        <v>11321100</v>
      </c>
      <c r="C20" s="39" t="s">
        <v>97</v>
      </c>
      <c r="D20" s="34">
        <v>100</v>
      </c>
      <c r="E20" s="36">
        <v>8068.0703599999997</v>
      </c>
      <c r="F20" s="36">
        <v>10650</v>
      </c>
      <c r="G20" s="36">
        <v>13200</v>
      </c>
      <c r="H20" s="36">
        <v>11904.29384</v>
      </c>
      <c r="I20" s="37">
        <v>13250</v>
      </c>
      <c r="J20" s="37">
        <f>11900+100</f>
        <v>12000</v>
      </c>
      <c r="K20" s="37">
        <f>11900+100</f>
        <v>12000</v>
      </c>
      <c r="L20" s="37">
        <f>11900+100</f>
        <v>12000</v>
      </c>
      <c r="M20" s="37">
        <f t="shared" si="2"/>
        <v>0</v>
      </c>
    </row>
    <row r="21" spans="1:14">
      <c r="A21" s="31">
        <v>12</v>
      </c>
      <c r="B21" s="31">
        <v>11321200</v>
      </c>
      <c r="C21" s="39" t="s">
        <v>98</v>
      </c>
      <c r="D21" s="34">
        <v>100</v>
      </c>
      <c r="E21" s="36">
        <v>55.984099999999998</v>
      </c>
      <c r="F21" s="36">
        <v>0</v>
      </c>
      <c r="G21" s="36">
        <v>0</v>
      </c>
      <c r="H21" s="36">
        <v>82.077200000000005</v>
      </c>
      <c r="I21" s="37">
        <v>500</v>
      </c>
      <c r="J21" s="37">
        <v>500</v>
      </c>
      <c r="K21" s="37">
        <v>500</v>
      </c>
      <c r="L21" s="37">
        <v>500</v>
      </c>
      <c r="M21" s="37">
        <f t="shared" si="2"/>
        <v>0</v>
      </c>
    </row>
    <row r="22" spans="1:14" ht="25.5">
      <c r="A22" s="31">
        <v>13</v>
      </c>
      <c r="B22" s="31">
        <v>11321300</v>
      </c>
      <c r="C22" s="45" t="s">
        <v>99</v>
      </c>
      <c r="D22" s="34">
        <v>100</v>
      </c>
      <c r="E22" s="36">
        <v>22250.634249999999</v>
      </c>
      <c r="F22" s="36">
        <v>29876.3</v>
      </c>
      <c r="G22" s="36">
        <v>34478.699999999997</v>
      </c>
      <c r="H22" s="36">
        <v>37493.500110000001</v>
      </c>
      <c r="I22" s="37">
        <v>31300</v>
      </c>
      <c r="J22" s="37">
        <v>37200</v>
      </c>
      <c r="K22" s="37">
        <v>37200</v>
      </c>
      <c r="L22" s="37">
        <v>37200</v>
      </c>
      <c r="M22" s="37">
        <f t="shared" si="2"/>
        <v>0</v>
      </c>
    </row>
    <row r="23" spans="1:14">
      <c r="A23" s="31">
        <v>14</v>
      </c>
      <c r="B23" s="31">
        <v>14224200</v>
      </c>
      <c r="C23" s="45" t="s">
        <v>73</v>
      </c>
      <c r="D23" s="34">
        <v>100</v>
      </c>
      <c r="E23" s="36">
        <v>1122.2946199999999</v>
      </c>
      <c r="F23" s="36">
        <v>1200</v>
      </c>
      <c r="G23" s="36">
        <v>1200</v>
      </c>
      <c r="H23" s="36">
        <v>1293.9566299999999</v>
      </c>
      <c r="I23" s="37">
        <v>1250</v>
      </c>
      <c r="J23" s="37">
        <v>1300</v>
      </c>
      <c r="K23" s="37">
        <v>1300</v>
      </c>
      <c r="L23" s="37">
        <v>1300</v>
      </c>
      <c r="M23" s="37">
        <f t="shared" si="2"/>
        <v>0</v>
      </c>
    </row>
    <row r="24" spans="1:14" ht="25.5">
      <c r="A24" s="31">
        <v>15</v>
      </c>
      <c r="B24" s="31">
        <v>14511400</v>
      </c>
      <c r="C24" s="212" t="s">
        <v>226</v>
      </c>
      <c r="D24" s="45"/>
      <c r="E24" s="36"/>
      <c r="F24" s="36"/>
      <c r="G24" s="36">
        <v>40</v>
      </c>
      <c r="H24" s="36">
        <v>84.718199999999996</v>
      </c>
      <c r="I24" s="37">
        <v>20</v>
      </c>
      <c r="J24" s="37">
        <v>70</v>
      </c>
      <c r="K24" s="37">
        <v>70</v>
      </c>
      <c r="L24" s="37">
        <v>70</v>
      </c>
      <c r="M24" s="37">
        <f t="shared" si="2"/>
        <v>0</v>
      </c>
    </row>
    <row r="25" spans="1:14">
      <c r="A25" s="31">
        <v>16</v>
      </c>
      <c r="B25" s="39">
        <v>11611200</v>
      </c>
      <c r="C25" s="45" t="s">
        <v>100</v>
      </c>
      <c r="D25" s="45"/>
      <c r="E25" s="36">
        <v>6.0999999999999999E-2</v>
      </c>
      <c r="F25" s="36"/>
      <c r="G25" s="36"/>
      <c r="H25" s="36">
        <v>2.5999999999999999E-2</v>
      </c>
      <c r="I25" s="37"/>
      <c r="J25" s="37"/>
      <c r="K25" s="37"/>
      <c r="L25" s="37"/>
      <c r="M25" s="37"/>
    </row>
    <row r="26" spans="1:14" ht="13.5" customHeight="1">
      <c r="A26" s="31"/>
      <c r="B26" s="40"/>
      <c r="C26" s="41" t="s">
        <v>6</v>
      </c>
      <c r="D26" s="41"/>
      <c r="E26" s="42">
        <f>SUM(E16:E25)</f>
        <v>83594.461710000003</v>
      </c>
      <c r="F26" s="42">
        <f>SUM(F16:F24)</f>
        <v>101690.90000000001</v>
      </c>
      <c r="G26" s="42">
        <f>SUM(G16:G24)</f>
        <v>130075.7</v>
      </c>
      <c r="H26" s="42">
        <f>SUM(H16:H25)</f>
        <v>155696.06561000002</v>
      </c>
      <c r="I26" s="42">
        <f t="shared" ref="I26:M26" si="3">SUM(I16:I24)</f>
        <v>118420</v>
      </c>
      <c r="J26" s="42">
        <f t="shared" si="3"/>
        <v>162170</v>
      </c>
      <c r="K26" s="42">
        <f t="shared" si="3"/>
        <v>162170</v>
      </c>
      <c r="L26" s="42">
        <f t="shared" ref="L26" si="4">SUM(L16:L24)</f>
        <v>162170</v>
      </c>
      <c r="M26" s="42">
        <f t="shared" si="3"/>
        <v>0</v>
      </c>
    </row>
    <row r="27" spans="1:14" ht="13.5" customHeight="1">
      <c r="A27" s="31"/>
      <c r="B27" s="31"/>
      <c r="C27" s="47" t="s">
        <v>7</v>
      </c>
      <c r="D27" s="47"/>
      <c r="E27" s="43">
        <f t="shared" ref="E27:M27" si="5">E26+E15</f>
        <v>630711.68868000014</v>
      </c>
      <c r="F27" s="43">
        <f t="shared" si="5"/>
        <v>725394.1</v>
      </c>
      <c r="G27" s="43">
        <f t="shared" si="5"/>
        <v>799398.29999999993</v>
      </c>
      <c r="H27" s="43">
        <f t="shared" si="5"/>
        <v>811372.42381000007</v>
      </c>
      <c r="I27" s="44">
        <f t="shared" si="5"/>
        <v>733679.4</v>
      </c>
      <c r="J27" s="44">
        <f t="shared" si="5"/>
        <v>827829.4</v>
      </c>
      <c r="K27" s="44">
        <f t="shared" si="5"/>
        <v>897829.4</v>
      </c>
      <c r="L27" s="44">
        <f t="shared" ref="L27" si="6">L26+L15</f>
        <v>922829.4</v>
      </c>
      <c r="M27" s="44">
        <f t="shared" si="5"/>
        <v>25000</v>
      </c>
      <c r="N27" s="23"/>
    </row>
    <row r="28" spans="1:14" s="164" customFormat="1">
      <c r="A28" s="31">
        <v>17</v>
      </c>
      <c r="B28" s="32">
        <v>14152100</v>
      </c>
      <c r="C28" s="40" t="s">
        <v>74</v>
      </c>
      <c r="D28" s="252">
        <v>100</v>
      </c>
      <c r="E28" s="253">
        <f>SUM(E29:E32)</f>
        <v>36293.258499999996</v>
      </c>
      <c r="F28" s="253">
        <f>SUM(F29:F32)</f>
        <v>48015.1</v>
      </c>
      <c r="G28" s="253">
        <f t="shared" ref="G28:I28" si="7">SUM(G29:G32)</f>
        <v>48015.1</v>
      </c>
      <c r="H28" s="253">
        <f t="shared" si="7"/>
        <v>48137.441399999996</v>
      </c>
      <c r="I28" s="253">
        <f t="shared" si="7"/>
        <v>48300</v>
      </c>
      <c r="J28" s="253">
        <f>SUM(J29:J32)</f>
        <v>59916.860799999995</v>
      </c>
      <c r="K28" s="253">
        <f>SUM(K29:K32)</f>
        <v>64616.860799999995</v>
      </c>
      <c r="L28" s="253">
        <f>SUM(L29:L32)</f>
        <v>64616.860799999995</v>
      </c>
      <c r="M28" s="253">
        <f>SUM(M29:M32)</f>
        <v>0</v>
      </c>
    </row>
    <row r="29" spans="1:14">
      <c r="A29" s="31"/>
      <c r="B29" s="31"/>
      <c r="C29" s="325" t="s">
        <v>227</v>
      </c>
      <c r="D29" s="34">
        <v>100</v>
      </c>
      <c r="E29" s="50">
        <f>1642.567+1229.429+1238.021+2261.429+2176.2+1676.934+1872.094+1636.019+1347.714+1444.85+1426.2965+1158.09</f>
        <v>19109.643499999998</v>
      </c>
      <c r="F29" s="49">
        <v>23279</v>
      </c>
      <c r="G29" s="49">
        <v>23279</v>
      </c>
      <c r="H29" s="49">
        <f>1144.873+1574.38+1719.034+1728.257+2241.12+2257.05+2365.534+2112.928+2564.602+2500+2500+2500</f>
        <v>25207.777999999998</v>
      </c>
      <c r="I29" s="50">
        <v>23500</v>
      </c>
      <c r="J29" s="50">
        <f>29400+400</f>
        <v>29800</v>
      </c>
      <c r="K29" s="50">
        <f>29400+400+2700</f>
        <v>32500</v>
      </c>
      <c r="L29" s="288">
        <f>29400+400+2700</f>
        <v>32500</v>
      </c>
      <c r="M29" s="37">
        <f t="shared" ref="M29:M34" si="8">L29-K29</f>
        <v>0</v>
      </c>
    </row>
    <row r="30" spans="1:14">
      <c r="A30" s="31"/>
      <c r="B30" s="31"/>
      <c r="C30" s="329" t="s">
        <v>228</v>
      </c>
      <c r="D30" s="34">
        <v>100</v>
      </c>
      <c r="E30" s="7">
        <f>704.509+818.158+635.269+729.546+760.089+692.614+811.816+712.859+724.949+688.085+697.104+869.872</f>
        <v>8844.869999999999</v>
      </c>
      <c r="F30" s="49">
        <f>7366+1435.4</f>
        <v>8801.4</v>
      </c>
      <c r="G30" s="49">
        <f>7366+1435.4</f>
        <v>8801.4</v>
      </c>
      <c r="H30" s="49">
        <f>716.745+737.891+771.011+719.676+773.59+792.188+748.9861+732.1913+1027.893+793.668+1034.663+1800+1800+1800</f>
        <v>14248.502399999999</v>
      </c>
      <c r="I30" s="50">
        <v>8806.3960000000006</v>
      </c>
      <c r="J30" s="50">
        <f>6465.516+1048.32</f>
        <v>7513.8359999999993</v>
      </c>
      <c r="K30" s="50">
        <f>6465.516+1048.32+2000</f>
        <v>9513.8359999999993</v>
      </c>
      <c r="L30" s="289">
        <f>6465.516+1048.32+2000</f>
        <v>9513.8359999999993</v>
      </c>
      <c r="M30" s="37">
        <f t="shared" si="8"/>
        <v>0</v>
      </c>
    </row>
    <row r="31" spans="1:14">
      <c r="A31" s="31"/>
      <c r="B31" s="31"/>
      <c r="C31" s="329" t="s">
        <v>229</v>
      </c>
      <c r="D31" s="34">
        <v>100</v>
      </c>
      <c r="E31" s="7">
        <f>576.608+624.144+562.902+502.679+591.415+591.151+563.115+571.772+560.445+581.284+585.272+597.316</f>
        <v>6908.1029999999992</v>
      </c>
      <c r="F31" s="49">
        <v>6933.2</v>
      </c>
      <c r="G31" s="49">
        <v>6933.2</v>
      </c>
      <c r="H31" s="49">
        <f>570.864+586.804+594.144+567.484+592.124+567.849+591.089+569.593+580.55+207.746+200+500+250.799</f>
        <v>6379.0460000000003</v>
      </c>
      <c r="I31" s="50">
        <v>6958.0919999999996</v>
      </c>
      <c r="J31" s="50">
        <f>2157.96+6958.0896</f>
        <v>9116.0496000000003</v>
      </c>
      <c r="K31" s="50">
        <f>2157.96+6958.0896</f>
        <v>9116.0496000000003</v>
      </c>
      <c r="L31" s="289">
        <f>2157.96+6958.0896</f>
        <v>9116.0496000000003</v>
      </c>
      <c r="M31" s="37">
        <f t="shared" si="8"/>
        <v>0</v>
      </c>
    </row>
    <row r="32" spans="1:14">
      <c r="A32" s="31"/>
      <c r="B32" s="31"/>
      <c r="C32" s="329" t="s">
        <v>230</v>
      </c>
      <c r="D32" s="34"/>
      <c r="E32" s="50">
        <f>7.2+49.05+23.4+1.8+300.74+157.604+90.704+73.056+193.039+269.963+264.086</f>
        <v>1430.6420000000001</v>
      </c>
      <c r="F32" s="49">
        <v>9001.5</v>
      </c>
      <c r="G32" s="49">
        <v>9001.5</v>
      </c>
      <c r="H32" s="49">
        <f>430.688+250.23+233.95+105.47+160.35+152.67+237.952+218.085+364.11+48.61+100</f>
        <v>2302.1150000000002</v>
      </c>
      <c r="I32" s="50">
        <v>9035.5120000000006</v>
      </c>
      <c r="J32" s="50">
        <f>1435.356+4859.6652+7191.954</f>
        <v>13486.975200000001</v>
      </c>
      <c r="K32" s="50">
        <f>1435.356+4859.6652+7191.954</f>
        <v>13486.975200000001</v>
      </c>
      <c r="L32" s="289">
        <f>1435.356+4859.6652+7191.954</f>
        <v>13486.975200000001</v>
      </c>
      <c r="M32" s="37">
        <f t="shared" si="8"/>
        <v>0</v>
      </c>
    </row>
    <row r="33" spans="1:13" s="164" customFormat="1">
      <c r="A33" s="31">
        <v>18</v>
      </c>
      <c r="B33" s="51">
        <v>14152200</v>
      </c>
      <c r="C33" s="326" t="s">
        <v>101</v>
      </c>
      <c r="D33" s="280"/>
      <c r="E33" s="257">
        <v>0</v>
      </c>
      <c r="F33" s="257">
        <f>83.3+353.1</f>
        <v>436.40000000000003</v>
      </c>
      <c r="G33" s="257">
        <f>83.3+353.1</f>
        <v>436.40000000000003</v>
      </c>
      <c r="H33" s="257">
        <v>52.295999999999999</v>
      </c>
      <c r="I33" s="258">
        <v>436.4</v>
      </c>
      <c r="J33" s="258">
        <v>600</v>
      </c>
      <c r="K33" s="258">
        <v>600</v>
      </c>
      <c r="L33" s="290">
        <v>600</v>
      </c>
      <c r="M33" s="37">
        <f t="shared" si="8"/>
        <v>0</v>
      </c>
    </row>
    <row r="34" spans="1:13" s="164" customFormat="1" ht="25.5">
      <c r="A34" s="31">
        <v>19</v>
      </c>
      <c r="B34" s="31">
        <v>14152600</v>
      </c>
      <c r="C34" s="327" t="s">
        <v>87</v>
      </c>
      <c r="D34" s="280">
        <v>100</v>
      </c>
      <c r="E34" s="281">
        <v>800.23599999999999</v>
      </c>
      <c r="F34" s="281">
        <v>2611.4</v>
      </c>
      <c r="G34" s="281">
        <v>2611.4</v>
      </c>
      <c r="H34" s="281">
        <v>4565.0940000000001</v>
      </c>
      <c r="I34" s="282">
        <v>2615.4</v>
      </c>
      <c r="J34" s="282">
        <f>5500+200</f>
        <v>5700</v>
      </c>
      <c r="K34" s="282">
        <f>5500+200</f>
        <v>5700</v>
      </c>
      <c r="L34" s="291">
        <f>5500+200</f>
        <v>5700</v>
      </c>
      <c r="M34" s="37">
        <f t="shared" si="8"/>
        <v>0</v>
      </c>
    </row>
    <row r="35" spans="1:13" s="164" customFormat="1" ht="25.5">
      <c r="A35" s="31">
        <v>20</v>
      </c>
      <c r="B35" s="32">
        <v>14211200</v>
      </c>
      <c r="C35" s="55" t="s">
        <v>75</v>
      </c>
      <c r="D35" s="252">
        <v>100</v>
      </c>
      <c r="E35" s="253">
        <v>7222.2759999999998</v>
      </c>
      <c r="F35" s="253">
        <v>17047</v>
      </c>
      <c r="G35" s="253">
        <f>8047+2800</f>
        <v>10847</v>
      </c>
      <c r="H35" s="253">
        <v>11098.054099999999</v>
      </c>
      <c r="I35" s="254">
        <v>9123.6</v>
      </c>
      <c r="J35" s="254">
        <f>J36+J37</f>
        <v>17326.031999999999</v>
      </c>
      <c r="K35" s="254">
        <f>K36+K37</f>
        <v>18326.031999999999</v>
      </c>
      <c r="L35" s="254">
        <f>L36+L37</f>
        <v>18326.031999999999</v>
      </c>
      <c r="M35" s="254">
        <f t="shared" ref="M35" si="9">K35-J35</f>
        <v>1000</v>
      </c>
    </row>
    <row r="36" spans="1:13">
      <c r="A36" s="31"/>
      <c r="B36" s="31"/>
      <c r="C36" s="213" t="s">
        <v>231</v>
      </c>
      <c r="D36" s="34"/>
      <c r="E36" s="36"/>
      <c r="F36" s="36"/>
      <c r="G36" s="36"/>
      <c r="H36" s="36"/>
      <c r="I36" s="37"/>
      <c r="J36" s="37">
        <v>0</v>
      </c>
      <c r="K36" s="37">
        <v>0</v>
      </c>
      <c r="L36" s="37">
        <v>0</v>
      </c>
      <c r="M36" s="37">
        <f t="shared" ref="M36:M37" si="10">L36-K36</f>
        <v>0</v>
      </c>
    </row>
    <row r="37" spans="1:13">
      <c r="A37" s="31"/>
      <c r="B37" s="31"/>
      <c r="C37" s="330" t="s">
        <v>228</v>
      </c>
      <c r="D37" s="214"/>
      <c r="E37" s="215"/>
      <c r="F37" s="215"/>
      <c r="G37" s="215"/>
      <c r="H37" s="215"/>
      <c r="I37" s="216"/>
      <c r="J37" s="216">
        <f>6918.84+4362.6+1076.592+600+360+1008+3000</f>
        <v>17326.031999999999</v>
      </c>
      <c r="K37" s="216">
        <f>6918.84+4362.6+1076.592+600+360+1008+3000+1000</f>
        <v>18326.031999999999</v>
      </c>
      <c r="L37" s="292">
        <f>6918.84+4362.6+1076.592+600+360+1008+3000+1000</f>
        <v>18326.031999999999</v>
      </c>
      <c r="M37" s="37">
        <f t="shared" si="10"/>
        <v>0</v>
      </c>
    </row>
    <row r="38" spans="1:13" s="164" customFormat="1">
      <c r="A38" s="31">
        <v>21</v>
      </c>
      <c r="B38" s="31">
        <v>14211900</v>
      </c>
      <c r="C38" s="45" t="s">
        <v>232</v>
      </c>
      <c r="D38" s="280"/>
      <c r="E38" s="281"/>
      <c r="F38" s="281"/>
      <c r="G38" s="281"/>
      <c r="H38" s="281">
        <v>162.65799999999999</v>
      </c>
      <c r="I38" s="282"/>
      <c r="J38" s="282"/>
      <c r="K38" s="282"/>
      <c r="L38" s="282"/>
      <c r="M38" s="282"/>
    </row>
    <row r="39" spans="1:13" s="164" customFormat="1">
      <c r="A39" s="31">
        <v>22</v>
      </c>
      <c r="B39" s="32">
        <v>14224300</v>
      </c>
      <c r="C39" s="40" t="s">
        <v>76</v>
      </c>
      <c r="D39" s="252">
        <v>100</v>
      </c>
      <c r="E39" s="253">
        <v>13195.200919999999</v>
      </c>
      <c r="F39" s="253">
        <v>14310</v>
      </c>
      <c r="G39" s="253">
        <v>14310</v>
      </c>
      <c r="H39" s="253">
        <v>13943.658799999999</v>
      </c>
      <c r="I39" s="254">
        <v>14310</v>
      </c>
      <c r="J39" s="254">
        <f>J40+J41</f>
        <v>16144</v>
      </c>
      <c r="K39" s="254">
        <f>K40+K41</f>
        <v>17144</v>
      </c>
      <c r="L39" s="254">
        <f>L40+L41</f>
        <v>20292.900000000001</v>
      </c>
      <c r="M39" s="254">
        <f>K39-J39</f>
        <v>1000</v>
      </c>
    </row>
    <row r="40" spans="1:13">
      <c r="A40" s="31"/>
      <c r="B40" s="31"/>
      <c r="C40" s="328" t="s">
        <v>231</v>
      </c>
      <c r="D40" s="214"/>
      <c r="E40" s="215"/>
      <c r="F40" s="215"/>
      <c r="G40" s="215"/>
      <c r="H40" s="215"/>
      <c r="I40" s="216"/>
      <c r="J40" s="216">
        <f>4500+400</f>
        <v>4900</v>
      </c>
      <c r="K40" s="216">
        <f>4500+400</f>
        <v>4900</v>
      </c>
      <c r="L40" s="293">
        <f>4500+400+1000+148.9</f>
        <v>6048.9</v>
      </c>
      <c r="M40" s="37">
        <f t="shared" ref="M40:M43" si="11">L40-K40</f>
        <v>1148.8999999999996</v>
      </c>
    </row>
    <row r="41" spans="1:13">
      <c r="A41" s="31"/>
      <c r="B41" s="31"/>
      <c r="C41" s="330" t="s">
        <v>228</v>
      </c>
      <c r="D41" s="214"/>
      <c r="E41" s="215"/>
      <c r="F41" s="215"/>
      <c r="G41" s="215"/>
      <c r="H41" s="215"/>
      <c r="I41" s="216"/>
      <c r="J41" s="216">
        <f>240+11004</f>
        <v>11244</v>
      </c>
      <c r="K41" s="216">
        <f>240+11004+1000</f>
        <v>12244</v>
      </c>
      <c r="L41" s="292">
        <f>240+11004+1000+2000</f>
        <v>14244</v>
      </c>
      <c r="M41" s="37">
        <f t="shared" si="11"/>
        <v>2000</v>
      </c>
    </row>
    <row r="42" spans="1:13" s="164" customFormat="1" ht="25.5">
      <c r="A42" s="31">
        <v>23</v>
      </c>
      <c r="B42" s="39">
        <v>14221900</v>
      </c>
      <c r="C42" s="330" t="s">
        <v>233</v>
      </c>
      <c r="D42" s="214">
        <v>100</v>
      </c>
      <c r="E42" s="215">
        <v>965.85</v>
      </c>
      <c r="F42" s="215">
        <v>6250.2</v>
      </c>
      <c r="G42" s="215">
        <v>13634.1</v>
      </c>
      <c r="H42" s="215">
        <v>12458.386</v>
      </c>
      <c r="I42" s="216">
        <v>14138.9</v>
      </c>
      <c r="J42" s="216">
        <f>2241.121+3000+9000+2000</f>
        <v>16241.120999999999</v>
      </c>
      <c r="K42" s="216">
        <f>2241.121+3000+9000+2000</f>
        <v>16241.120999999999</v>
      </c>
      <c r="L42" s="292">
        <f>2241.121+3000+9000+2000</f>
        <v>16241.120999999999</v>
      </c>
      <c r="M42" s="37">
        <f t="shared" si="11"/>
        <v>0</v>
      </c>
    </row>
    <row r="43" spans="1:13" ht="38.25">
      <c r="A43" s="31">
        <v>24</v>
      </c>
      <c r="B43" s="39">
        <v>14224410</v>
      </c>
      <c r="C43" s="45" t="s">
        <v>77</v>
      </c>
      <c r="D43" s="45">
        <v>100</v>
      </c>
      <c r="E43" s="36">
        <v>1850</v>
      </c>
      <c r="F43" s="36">
        <v>1041</v>
      </c>
      <c r="G43" s="36">
        <v>1041</v>
      </c>
      <c r="H43" s="36">
        <v>2480</v>
      </c>
      <c r="I43" s="37">
        <v>1850</v>
      </c>
      <c r="J43" s="37">
        <v>1850</v>
      </c>
      <c r="K43" s="37">
        <v>1850</v>
      </c>
      <c r="L43" s="37">
        <v>1850</v>
      </c>
      <c r="M43" s="37">
        <f t="shared" si="11"/>
        <v>0</v>
      </c>
    </row>
    <row r="44" spans="1:13">
      <c r="A44" s="31">
        <v>25</v>
      </c>
      <c r="B44" s="39">
        <v>14151200</v>
      </c>
      <c r="C44" s="52" t="s">
        <v>88</v>
      </c>
      <c r="D44" s="34"/>
      <c r="E44" s="36"/>
      <c r="F44" s="36">
        <v>95</v>
      </c>
      <c r="G44" s="36">
        <v>95</v>
      </c>
      <c r="H44" s="36">
        <v>346.01499999999999</v>
      </c>
      <c r="I44" s="37"/>
      <c r="J44" s="37"/>
      <c r="K44" s="37"/>
      <c r="L44" s="37"/>
      <c r="M44" s="37"/>
    </row>
    <row r="45" spans="1:13">
      <c r="A45" s="31">
        <v>26</v>
      </c>
      <c r="B45" s="51">
        <v>14311400</v>
      </c>
      <c r="C45" s="52" t="s">
        <v>78</v>
      </c>
      <c r="D45" s="45"/>
      <c r="E45" s="36">
        <v>55.5</v>
      </c>
      <c r="F45" s="36"/>
      <c r="G45" s="36"/>
      <c r="H45" s="36"/>
      <c r="I45" s="37"/>
      <c r="J45" s="37"/>
      <c r="K45" s="37"/>
      <c r="L45" s="37"/>
      <c r="M45" s="37"/>
    </row>
    <row r="46" spans="1:13">
      <c r="A46" s="31">
        <v>27</v>
      </c>
      <c r="B46" s="51">
        <v>14311500</v>
      </c>
      <c r="C46" s="52" t="s">
        <v>79</v>
      </c>
      <c r="D46" s="45"/>
      <c r="E46" s="36"/>
      <c r="F46" s="36"/>
      <c r="G46" s="36"/>
      <c r="H46" s="36"/>
      <c r="I46" s="37"/>
      <c r="J46" s="37"/>
      <c r="K46" s="37"/>
      <c r="L46" s="37"/>
      <c r="M46" s="37"/>
    </row>
    <row r="47" spans="1:13">
      <c r="A47" s="31">
        <v>28</v>
      </c>
      <c r="B47" s="51">
        <v>14511100</v>
      </c>
      <c r="C47" s="52" t="s">
        <v>68</v>
      </c>
      <c r="D47" s="45"/>
      <c r="E47" s="36">
        <v>2621.2420000000002</v>
      </c>
      <c r="F47" s="36"/>
      <c r="G47" s="36"/>
      <c r="H47" s="36">
        <v>1540.1107999999999</v>
      </c>
      <c r="I47" s="37"/>
      <c r="J47" s="37"/>
      <c r="K47" s="37"/>
      <c r="L47" s="37"/>
      <c r="M47" s="37"/>
    </row>
    <row r="48" spans="1:13">
      <c r="A48" s="31">
        <v>29</v>
      </c>
      <c r="B48" s="53">
        <v>14311410</v>
      </c>
      <c r="C48" s="54" t="s">
        <v>78</v>
      </c>
      <c r="D48" s="45"/>
      <c r="E48" s="36">
        <v>0</v>
      </c>
      <c r="F48" s="36"/>
      <c r="G48" s="36"/>
      <c r="H48" s="36">
        <v>36</v>
      </c>
      <c r="I48" s="37"/>
      <c r="J48" s="37"/>
      <c r="K48" s="37"/>
      <c r="L48" s="37"/>
      <c r="M48" s="37"/>
    </row>
    <row r="49" spans="1:13">
      <c r="A49" s="31">
        <v>30</v>
      </c>
      <c r="B49" s="259">
        <v>31121100</v>
      </c>
      <c r="C49" s="260" t="s">
        <v>80</v>
      </c>
      <c r="D49" s="45"/>
      <c r="E49" s="36"/>
      <c r="F49" s="36"/>
      <c r="G49" s="36"/>
      <c r="H49" s="36"/>
      <c r="I49" s="37"/>
      <c r="J49" s="37"/>
      <c r="K49" s="37"/>
      <c r="L49" s="37"/>
      <c r="M49" s="37"/>
    </row>
    <row r="50" spans="1:13">
      <c r="A50" s="31">
        <v>31</v>
      </c>
      <c r="B50" s="259">
        <v>31112120</v>
      </c>
      <c r="C50" s="331" t="s">
        <v>89</v>
      </c>
      <c r="D50" s="261"/>
      <c r="E50" s="36">
        <v>0</v>
      </c>
      <c r="F50" s="36"/>
      <c r="G50" s="36"/>
      <c r="H50" s="36"/>
      <c r="I50" s="37"/>
      <c r="J50" s="37">
        <v>1570</v>
      </c>
      <c r="K50" s="37">
        <v>1570</v>
      </c>
      <c r="L50" s="294">
        <v>1570</v>
      </c>
      <c r="M50" s="37">
        <f t="shared" ref="M50" si="12">L50-K50</f>
        <v>0</v>
      </c>
    </row>
    <row r="51" spans="1:13">
      <c r="A51" s="31">
        <v>32</v>
      </c>
      <c r="B51" s="31">
        <v>31112190</v>
      </c>
      <c r="C51" s="260" t="s">
        <v>90</v>
      </c>
      <c r="D51" s="261"/>
      <c r="E51" s="36"/>
      <c r="F51" s="36"/>
      <c r="G51" s="36">
        <f>1616.1+6392.4</f>
        <v>8008.5</v>
      </c>
      <c r="H51" s="36">
        <v>1780.951</v>
      </c>
      <c r="I51" s="37"/>
      <c r="J51" s="37"/>
      <c r="K51" s="37"/>
      <c r="L51" s="37"/>
      <c r="M51" s="37"/>
    </row>
    <row r="52" spans="1:13">
      <c r="A52" s="31">
        <v>33</v>
      </c>
      <c r="B52" s="51">
        <v>31121130</v>
      </c>
      <c r="C52" s="54" t="s">
        <v>81</v>
      </c>
      <c r="D52" s="45"/>
      <c r="E52" s="36">
        <v>0</v>
      </c>
      <c r="F52" s="36"/>
      <c r="G52" s="36"/>
      <c r="H52" s="36"/>
      <c r="I52" s="37"/>
      <c r="J52" s="37"/>
      <c r="K52" s="37"/>
      <c r="L52" s="37"/>
      <c r="M52" s="37"/>
    </row>
    <row r="53" spans="1:13">
      <c r="A53" s="31">
        <v>34</v>
      </c>
      <c r="B53" s="51">
        <v>31121190</v>
      </c>
      <c r="C53" s="52" t="s">
        <v>82</v>
      </c>
      <c r="D53" s="45"/>
      <c r="E53" s="36"/>
      <c r="F53" s="36"/>
      <c r="G53" s="36"/>
      <c r="H53" s="36"/>
      <c r="I53" s="37"/>
      <c r="J53" s="37"/>
      <c r="K53" s="37"/>
      <c r="L53" s="37"/>
      <c r="M53" s="37"/>
    </row>
    <row r="54" spans="1:13" ht="25.5">
      <c r="A54" s="31"/>
      <c r="B54" s="31"/>
      <c r="C54" s="55" t="s">
        <v>234</v>
      </c>
      <c r="D54" s="55"/>
      <c r="E54" s="56">
        <f t="shared" ref="E54:I54" si="13">SUM(E28:E53)-E28</f>
        <v>63003.56342000002</v>
      </c>
      <c r="F54" s="56">
        <f t="shared" si="13"/>
        <v>89806.099999999977</v>
      </c>
      <c r="G54" s="56">
        <f t="shared" si="13"/>
        <v>98998.499999999971</v>
      </c>
      <c r="H54" s="56">
        <f t="shared" si="13"/>
        <v>96600.665100000027</v>
      </c>
      <c r="I54" s="56">
        <f t="shared" si="13"/>
        <v>90774.300000000017</v>
      </c>
      <c r="J54" s="56">
        <f>SUM(J28:J53)-J28-J39-J35</f>
        <v>119348.01379999999</v>
      </c>
      <c r="K54" s="56">
        <f>SUM(K28:K53)-K28-K39-K35</f>
        <v>126048.01379999999</v>
      </c>
      <c r="L54" s="56">
        <f>SUM(L28:L53)-L28-L39-L35</f>
        <v>129196.91379999998</v>
      </c>
      <c r="M54" s="56">
        <f>SUM(M28:M53)-M28-M39-M35</f>
        <v>3148.8999999999996</v>
      </c>
    </row>
    <row r="55" spans="1:13">
      <c r="A55" s="31"/>
      <c r="B55" s="31"/>
      <c r="C55" s="57" t="s">
        <v>8</v>
      </c>
      <c r="D55" s="57"/>
      <c r="E55" s="263">
        <f t="shared" ref="E55:M55" si="14">E54+E27</f>
        <v>693715.25210000016</v>
      </c>
      <c r="F55" s="263">
        <f t="shared" si="14"/>
        <v>815200.2</v>
      </c>
      <c r="G55" s="263">
        <f t="shared" si="14"/>
        <v>898396.79999999993</v>
      </c>
      <c r="H55" s="263">
        <f t="shared" si="14"/>
        <v>907973.08891000005</v>
      </c>
      <c r="I55" s="59">
        <f t="shared" si="14"/>
        <v>824453.70000000007</v>
      </c>
      <c r="J55" s="59">
        <f>J54+J27</f>
        <v>947177.41379999998</v>
      </c>
      <c r="K55" s="59">
        <f>K54+K27</f>
        <v>1023877.4138</v>
      </c>
      <c r="L55" s="59">
        <f>L54+L27</f>
        <v>1052026.3138000001</v>
      </c>
      <c r="M55" s="59">
        <f t="shared" si="14"/>
        <v>28148.9</v>
      </c>
    </row>
    <row r="56" spans="1:13" ht="13.5">
      <c r="A56" s="31"/>
      <c r="B56" s="31"/>
      <c r="C56" s="60" t="s">
        <v>9</v>
      </c>
      <c r="D56" s="60"/>
      <c r="E56" s="264"/>
      <c r="F56" s="264"/>
      <c r="G56" s="264"/>
      <c r="H56" s="264"/>
      <c r="I56" s="35"/>
      <c r="J56" s="35"/>
      <c r="K56" s="35"/>
      <c r="L56" s="35"/>
      <c r="M56" s="35"/>
    </row>
    <row r="57" spans="1:13" ht="22.5" customHeight="1">
      <c r="A57" s="31">
        <v>35</v>
      </c>
      <c r="B57" s="31">
        <v>14232400</v>
      </c>
      <c r="C57" s="45" t="s">
        <v>67</v>
      </c>
      <c r="D57" s="45"/>
      <c r="E57" s="264">
        <v>52230.764999999999</v>
      </c>
      <c r="F57" s="264">
        <v>65258</v>
      </c>
      <c r="G57" s="265">
        <f>65258+10000</f>
        <v>75258</v>
      </c>
      <c r="H57" s="264">
        <v>76362.425000000003</v>
      </c>
      <c r="I57" s="35">
        <v>73149.5</v>
      </c>
      <c r="J57" s="35">
        <f>132321.9+0.1</f>
        <v>132322</v>
      </c>
      <c r="K57" s="35">
        <f>132321.9+0.1</f>
        <v>132322</v>
      </c>
      <c r="L57" s="35">
        <f>132321.9+0.1+180.6</f>
        <v>132502.6</v>
      </c>
      <c r="M57" s="37">
        <f t="shared" ref="M57:M58" si="15">L57-K57</f>
        <v>180.60000000000582</v>
      </c>
    </row>
    <row r="58" spans="1:13" ht="22.5" customHeight="1">
      <c r="A58" s="31">
        <v>36</v>
      </c>
      <c r="B58" s="31">
        <v>14232900</v>
      </c>
      <c r="C58" s="45" t="s">
        <v>91</v>
      </c>
      <c r="D58" s="45"/>
      <c r="E58" s="264">
        <v>1547.4069999999999</v>
      </c>
      <c r="F58" s="264">
        <v>2000</v>
      </c>
      <c r="G58" s="264">
        <v>2000</v>
      </c>
      <c r="H58" s="264">
        <v>1993.136</v>
      </c>
      <c r="I58" s="154">
        <v>2000</v>
      </c>
      <c r="J58" s="35">
        <v>2000</v>
      </c>
      <c r="K58" s="35">
        <v>2000</v>
      </c>
      <c r="L58" s="35">
        <f>2000+100</f>
        <v>2100</v>
      </c>
      <c r="M58" s="37">
        <f t="shared" si="15"/>
        <v>100</v>
      </c>
    </row>
    <row r="59" spans="1:13" ht="28.5" customHeight="1">
      <c r="A59" s="31">
        <v>37</v>
      </c>
      <c r="B59" s="31">
        <v>14236900</v>
      </c>
      <c r="C59" s="45" t="s">
        <v>92</v>
      </c>
      <c r="D59" s="45"/>
      <c r="E59" s="264"/>
      <c r="F59" s="264"/>
      <c r="G59" s="264"/>
      <c r="H59" s="264">
        <v>0</v>
      </c>
      <c r="I59" s="154"/>
      <c r="J59" s="35"/>
      <c r="K59" s="35"/>
      <c r="L59" s="35"/>
      <c r="M59" s="35"/>
    </row>
    <row r="60" spans="1:13" ht="15.75" customHeight="1">
      <c r="A60" s="31">
        <v>38</v>
      </c>
      <c r="B60" s="31">
        <v>14238900</v>
      </c>
      <c r="C60" s="45" t="s">
        <v>62</v>
      </c>
      <c r="D60" s="45"/>
      <c r="E60" s="264">
        <v>71483.906000000003</v>
      </c>
      <c r="F60" s="264">
        <v>166989.20000000001</v>
      </c>
      <c r="G60" s="264">
        <f>166989.2-5052.5</f>
        <v>161936.70000000001</v>
      </c>
      <c r="H60" s="264">
        <v>100485.13400000001</v>
      </c>
      <c r="I60" s="154">
        <v>168767.1</v>
      </c>
      <c r="J60" s="35">
        <f>1580.9+347.2+100+90+(80146.1)+70+15288.4+30100</f>
        <v>127722.6</v>
      </c>
      <c r="K60" s="35">
        <f>1580.9+347.2+100+90+(80146.1)+70+15288.4+30100+7214.7+27.3</f>
        <v>134964.6</v>
      </c>
      <c r="L60" s="35">
        <f>1580.9+347.2+100+90+(80146.1)+70+15288.4+30100+7214.7+27.3+2081+2926.8+50</f>
        <v>140022.39999999999</v>
      </c>
      <c r="M60" s="37">
        <f t="shared" ref="M60:M64" si="16">L60-K60</f>
        <v>5057.7999999999884</v>
      </c>
    </row>
    <row r="61" spans="1:13">
      <c r="A61" s="31">
        <v>39</v>
      </c>
      <c r="B61" s="31">
        <v>14411100</v>
      </c>
      <c r="C61" s="39" t="s">
        <v>63</v>
      </c>
      <c r="D61" s="39"/>
      <c r="E61" s="264">
        <v>455</v>
      </c>
      <c r="F61" s="264">
        <v>200</v>
      </c>
      <c r="G61" s="264">
        <v>700</v>
      </c>
      <c r="H61" s="264">
        <v>1085.95</v>
      </c>
      <c r="I61" s="154">
        <v>100</v>
      </c>
      <c r="J61" s="35">
        <f>100+100+100</f>
        <v>300</v>
      </c>
      <c r="K61" s="35">
        <f>100+100+100</f>
        <v>300</v>
      </c>
      <c r="L61" s="35">
        <f>100+100+100+120.4</f>
        <v>420.4</v>
      </c>
      <c r="M61" s="37">
        <f t="shared" si="16"/>
        <v>120.39999999999998</v>
      </c>
    </row>
    <row r="62" spans="1:13">
      <c r="A62" s="31">
        <v>40</v>
      </c>
      <c r="B62" s="31">
        <v>14412100</v>
      </c>
      <c r="C62" s="39" t="s">
        <v>235</v>
      </c>
      <c r="D62" s="39"/>
      <c r="E62" s="264"/>
      <c r="F62" s="264"/>
      <c r="G62" s="264"/>
      <c r="H62" s="264">
        <v>900000</v>
      </c>
      <c r="I62" s="154"/>
      <c r="J62" s="35"/>
      <c r="K62" s="35">
        <v>12000</v>
      </c>
      <c r="L62" s="35">
        <v>12000</v>
      </c>
      <c r="M62" s="37">
        <f t="shared" si="16"/>
        <v>0</v>
      </c>
    </row>
    <row r="63" spans="1:13">
      <c r="A63" s="31"/>
      <c r="B63" s="38"/>
      <c r="C63" s="40" t="s">
        <v>64</v>
      </c>
      <c r="D63" s="40"/>
      <c r="E63" s="56">
        <f t="shared" ref="E63:I63" si="17">SUM(E57:E61)</f>
        <v>125717.07800000001</v>
      </c>
      <c r="F63" s="56">
        <f t="shared" si="17"/>
        <v>234447.2</v>
      </c>
      <c r="G63" s="56">
        <f t="shared" si="17"/>
        <v>239894.7</v>
      </c>
      <c r="H63" s="56">
        <f>SUM(H57:H61)</f>
        <v>179926.64500000002</v>
      </c>
      <c r="I63" s="56">
        <f t="shared" si="17"/>
        <v>244016.6</v>
      </c>
      <c r="J63" s="56">
        <f>SUM(J57:J61)</f>
        <v>262344.59999999998</v>
      </c>
      <c r="K63" s="56">
        <f>SUM(K57:K62)</f>
        <v>281586.59999999998</v>
      </c>
      <c r="L63" s="56">
        <f>SUM(L57:L62)</f>
        <v>287045.40000000002</v>
      </c>
      <c r="M63" s="56">
        <f>SUM(M57:M62)</f>
        <v>5458.7999999999938</v>
      </c>
    </row>
    <row r="64" spans="1:13">
      <c r="A64" s="31">
        <v>41</v>
      </c>
      <c r="B64" s="38">
        <v>13321200</v>
      </c>
      <c r="C64" s="217" t="s">
        <v>102</v>
      </c>
      <c r="D64" s="61"/>
      <c r="E64" s="62">
        <v>1669224.6</v>
      </c>
      <c r="F64" s="38"/>
      <c r="H64" s="62">
        <v>1056720.2290000001</v>
      </c>
      <c r="I64" s="62"/>
      <c r="J64" s="62"/>
      <c r="K64" s="62"/>
      <c r="L64" s="62">
        <v>27400</v>
      </c>
      <c r="M64" s="37">
        <f t="shared" si="16"/>
        <v>27400</v>
      </c>
    </row>
    <row r="65" spans="1:13">
      <c r="A65" s="31">
        <v>42</v>
      </c>
      <c r="B65" s="38">
        <v>13321100</v>
      </c>
      <c r="C65" s="217" t="s">
        <v>236</v>
      </c>
      <c r="D65" s="61"/>
      <c r="E65" s="62"/>
      <c r="F65" s="62">
        <v>2201.8000000000002</v>
      </c>
      <c r="G65" s="62">
        <v>2201.8000000000002</v>
      </c>
      <c r="H65" s="62">
        <v>2201.83</v>
      </c>
      <c r="I65" s="62"/>
      <c r="J65" s="62"/>
      <c r="K65" s="62"/>
      <c r="L65" s="62"/>
      <c r="M65" s="62"/>
    </row>
    <row r="66" spans="1:13" ht="15">
      <c r="A66" s="31">
        <v>43</v>
      </c>
      <c r="B66" s="38">
        <v>13321300</v>
      </c>
      <c r="C66" s="218" t="s">
        <v>237</v>
      </c>
      <c r="D66" s="61"/>
      <c r="E66" s="62"/>
      <c r="F66" s="62"/>
      <c r="G66" s="62"/>
      <c r="H66" s="62">
        <v>18833.25604</v>
      </c>
      <c r="I66" s="62"/>
      <c r="J66" s="62"/>
      <c r="K66" s="62"/>
      <c r="L66" s="62"/>
      <c r="M66" s="62"/>
    </row>
    <row r="67" spans="1:13">
      <c r="A67" s="31"/>
      <c r="B67" s="38"/>
      <c r="C67" s="63" t="s">
        <v>65</v>
      </c>
      <c r="D67" s="63"/>
      <c r="E67" s="56">
        <f>E63+E55+E64+E65+E66</f>
        <v>2488656.9301000005</v>
      </c>
      <c r="F67" s="56">
        <f>F63+F55+F64+F65+F66</f>
        <v>1051849.2</v>
      </c>
      <c r="G67" s="56">
        <f>G63+G55+G64+G65+G66</f>
        <v>1140493.3</v>
      </c>
      <c r="H67" s="56">
        <f>H63+H55+H64+H65+H66+H62</f>
        <v>3065655.0489500002</v>
      </c>
      <c r="I67" s="56">
        <f t="shared" ref="I67" si="18">I63+I55</f>
        <v>1068470.3</v>
      </c>
      <c r="J67" s="56">
        <f>J63+J55</f>
        <v>1209522.0137999998</v>
      </c>
      <c r="K67" s="56">
        <f>K63+K55</f>
        <v>1305464.0137999998</v>
      </c>
      <c r="L67" s="56">
        <f>L63+L55+L64</f>
        <v>1366471.7138</v>
      </c>
      <c r="M67" s="56">
        <f>M63+M55+M64</f>
        <v>61007.7</v>
      </c>
    </row>
    <row r="68" spans="1:13">
      <c r="K68" s="23"/>
      <c r="L68" s="23"/>
      <c r="M68" s="23"/>
    </row>
    <row r="70" spans="1:13" ht="15.75">
      <c r="B70" s="219"/>
      <c r="C70" s="295" t="s">
        <v>507</v>
      </c>
      <c r="D70" s="164"/>
      <c r="E70" s="361"/>
      <c r="F70" s="361" t="s">
        <v>508</v>
      </c>
      <c r="G70" s="361"/>
      <c r="H70" s="23"/>
    </row>
    <row r="71" spans="1:13" ht="15.75">
      <c r="C71" s="295"/>
      <c r="D71" s="295"/>
      <c r="E71" s="296"/>
      <c r="F71" s="296"/>
      <c r="G71" s="296"/>
      <c r="H71" s="296"/>
      <c r="J71" s="23"/>
    </row>
    <row r="72" spans="1:13">
      <c r="E72" s="23"/>
    </row>
    <row r="73" spans="1:13">
      <c r="J73" s="23"/>
    </row>
    <row r="77" spans="1:13">
      <c r="K77" s="23"/>
      <c r="L77" s="23"/>
    </row>
    <row r="78" spans="1:13">
      <c r="K78" s="23"/>
      <c r="L78" s="23"/>
    </row>
  </sheetData>
  <mergeCells count="17">
    <mergeCell ref="K6:K7"/>
    <mergeCell ref="M6:M7"/>
    <mergeCell ref="L6:L7"/>
    <mergeCell ref="L1:M1"/>
    <mergeCell ref="I8:J8"/>
    <mergeCell ref="K8:M8"/>
    <mergeCell ref="A4:M4"/>
    <mergeCell ref="C6:C7"/>
    <mergeCell ref="D6:D7"/>
    <mergeCell ref="E6:E7"/>
    <mergeCell ref="F6:F7"/>
    <mergeCell ref="G6:G7"/>
    <mergeCell ref="H6:H7"/>
    <mergeCell ref="B6:B7"/>
    <mergeCell ref="A6:A7"/>
    <mergeCell ref="I6:I7"/>
    <mergeCell ref="J6:J7"/>
  </mergeCells>
  <printOptions horizontalCentered="1"/>
  <pageMargins left="0.19685039370078741" right="0.19685039370078741" top="0.31496062992125984" bottom="0.31496062992125984" header="0.51181102362204722" footer="0"/>
  <pageSetup paperSize="9" scale="81" fitToHeight="0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1:L287"/>
  <sheetViews>
    <sheetView view="pageBreakPreview" topLeftCell="A255" zoomScale="85" zoomScaleNormal="85" zoomScaleSheetLayoutView="85" workbookViewId="0">
      <selection activeCell="G236" sqref="G236"/>
    </sheetView>
  </sheetViews>
  <sheetFormatPr defaultColWidth="9.140625" defaultRowHeight="12.75"/>
  <cols>
    <col min="1" max="1" width="4" style="297" bestFit="1" customWidth="1"/>
    <col min="2" max="2" width="31.140625" style="297" customWidth="1"/>
    <col min="3" max="3" width="9.85546875" style="297" customWidth="1"/>
    <col min="4" max="4" width="14.140625" style="297" customWidth="1"/>
    <col min="5" max="5" width="13" style="297" hidden="1" customWidth="1"/>
    <col min="6" max="6" width="14.28515625" style="297" customWidth="1"/>
    <col min="7" max="7" width="46.28515625" style="297" customWidth="1"/>
    <col min="8" max="8" width="10.5703125" style="297" hidden="1" customWidth="1"/>
    <col min="9" max="9" width="9.140625" style="297"/>
    <col min="10" max="10" width="9.140625" style="25"/>
    <col min="11" max="16384" width="9.140625" style="297"/>
  </cols>
  <sheetData>
    <row r="1" spans="1:10" ht="66.599999999999994" customHeight="1">
      <c r="G1" s="426" t="s">
        <v>509</v>
      </c>
      <c r="H1" s="426"/>
    </row>
    <row r="3" spans="1:10">
      <c r="G3" s="399"/>
      <c r="H3" s="399"/>
      <c r="I3" s="399"/>
      <c r="J3" s="399"/>
    </row>
    <row r="4" spans="1:10" ht="27" customHeight="1">
      <c r="A4" s="420" t="s">
        <v>341</v>
      </c>
      <c r="B4" s="421"/>
      <c r="C4" s="421"/>
      <c r="D4" s="421"/>
      <c r="E4" s="421"/>
      <c r="F4" s="421"/>
      <c r="G4" s="422"/>
    </row>
    <row r="5" spans="1:10" ht="54" customHeight="1">
      <c r="A5" s="160" t="s">
        <v>0</v>
      </c>
      <c r="B5" s="160" t="s">
        <v>17</v>
      </c>
      <c r="C5" s="160" t="s">
        <v>161</v>
      </c>
      <c r="D5" s="19" t="s">
        <v>174</v>
      </c>
      <c r="E5" s="19" t="s">
        <v>329</v>
      </c>
      <c r="F5" s="19" t="s">
        <v>483</v>
      </c>
      <c r="G5" s="160" t="s">
        <v>162</v>
      </c>
    </row>
    <row r="6" spans="1:10">
      <c r="A6" s="24">
        <v>1</v>
      </c>
      <c r="B6" s="24">
        <v>2</v>
      </c>
      <c r="C6" s="24">
        <v>3</v>
      </c>
      <c r="D6" s="24">
        <v>4</v>
      </c>
      <c r="E6" s="24">
        <v>5</v>
      </c>
      <c r="F6" s="24"/>
      <c r="G6" s="24">
        <v>6</v>
      </c>
    </row>
    <row r="7" spans="1:10" ht="25.5">
      <c r="A7" s="229">
        <v>1</v>
      </c>
      <c r="B7" s="229" t="s">
        <v>330</v>
      </c>
      <c r="C7" s="18">
        <v>2214</v>
      </c>
      <c r="D7" s="226">
        <f>17.6+3.5</f>
        <v>21.1</v>
      </c>
      <c r="E7" s="183"/>
      <c r="F7" s="183"/>
      <c r="G7" s="334" t="s">
        <v>344</v>
      </c>
    </row>
    <row r="8" spans="1:10" ht="25.5">
      <c r="A8" s="229">
        <v>2</v>
      </c>
      <c r="B8" s="229" t="s">
        <v>401</v>
      </c>
      <c r="C8" s="18">
        <v>2214</v>
      </c>
      <c r="D8" s="226">
        <v>8.6999999999999993</v>
      </c>
      <c r="E8" s="183"/>
      <c r="F8" s="183"/>
      <c r="G8" s="334" t="s">
        <v>344</v>
      </c>
    </row>
    <row r="9" spans="1:10" ht="13.9" customHeight="1">
      <c r="A9" s="368">
        <v>3</v>
      </c>
      <c r="B9" s="368" t="s">
        <v>335</v>
      </c>
      <c r="C9" s="18">
        <v>2215</v>
      </c>
      <c r="D9" s="226">
        <v>4.0999999999999996</v>
      </c>
      <c r="E9" s="183"/>
      <c r="F9" s="183"/>
      <c r="G9" s="417" t="s">
        <v>344</v>
      </c>
      <c r="H9" s="298"/>
      <c r="I9" s="298"/>
      <c r="J9" s="299"/>
    </row>
    <row r="10" spans="1:10">
      <c r="A10" s="369"/>
      <c r="B10" s="369"/>
      <c r="C10" s="18">
        <v>2222</v>
      </c>
      <c r="D10" s="226">
        <v>5.4</v>
      </c>
      <c r="E10" s="183"/>
      <c r="F10" s="183"/>
      <c r="G10" s="418"/>
      <c r="H10" s="298"/>
      <c r="I10" s="298"/>
      <c r="J10" s="299"/>
    </row>
    <row r="11" spans="1:10">
      <c r="A11" s="371"/>
      <c r="B11" s="371"/>
      <c r="C11" s="18">
        <v>3112</v>
      </c>
      <c r="D11" s="226">
        <v>6.8</v>
      </c>
      <c r="E11" s="183"/>
      <c r="F11" s="183"/>
      <c r="G11" s="419"/>
      <c r="H11" s="298"/>
      <c r="I11" s="298"/>
      <c r="J11" s="299"/>
    </row>
    <row r="12" spans="1:10" s="301" customFormat="1" ht="13.9" customHeight="1">
      <c r="A12" s="368">
        <v>4</v>
      </c>
      <c r="B12" s="368" t="s">
        <v>239</v>
      </c>
      <c r="C12" s="18">
        <v>2214</v>
      </c>
      <c r="D12" s="226">
        <v>4.4000000000000004</v>
      </c>
      <c r="E12" s="183"/>
      <c r="F12" s="183"/>
      <c r="G12" s="413" t="s">
        <v>344</v>
      </c>
      <c r="J12" s="302"/>
    </row>
    <row r="13" spans="1:10" s="301" customFormat="1">
      <c r="A13" s="371"/>
      <c r="B13" s="371"/>
      <c r="C13" s="18">
        <v>2222</v>
      </c>
      <c r="D13" s="226">
        <v>3.7</v>
      </c>
      <c r="E13" s="183"/>
      <c r="F13" s="183"/>
      <c r="G13" s="413"/>
      <c r="J13" s="302"/>
    </row>
    <row r="14" spans="1:10" s="301" customFormat="1">
      <c r="A14" s="336">
        <v>5</v>
      </c>
      <c r="B14" s="336" t="s">
        <v>431</v>
      </c>
      <c r="C14" s="18">
        <v>2211</v>
      </c>
      <c r="D14" s="226">
        <v>7.1</v>
      </c>
      <c r="E14" s="183"/>
      <c r="F14" s="183"/>
      <c r="G14" s="76" t="s">
        <v>432</v>
      </c>
      <c r="J14" s="302"/>
    </row>
    <row r="15" spans="1:10" s="301" customFormat="1" ht="25.5">
      <c r="A15" s="368">
        <v>6</v>
      </c>
      <c r="B15" s="414" t="s">
        <v>11</v>
      </c>
      <c r="C15" s="18">
        <v>3111</v>
      </c>
      <c r="D15" s="226">
        <v>1368</v>
      </c>
      <c r="E15" s="183"/>
      <c r="F15" s="183"/>
      <c r="G15" s="76" t="s">
        <v>344</v>
      </c>
      <c r="J15" s="302"/>
    </row>
    <row r="16" spans="1:10" s="301" customFormat="1">
      <c r="A16" s="371"/>
      <c r="B16" s="416"/>
      <c r="C16" s="18">
        <v>3111</v>
      </c>
      <c r="D16" s="226">
        <v>500</v>
      </c>
      <c r="E16" s="183"/>
      <c r="F16" s="183"/>
      <c r="G16" s="338" t="s">
        <v>448</v>
      </c>
      <c r="J16" s="302"/>
    </row>
    <row r="17" spans="1:10" ht="13.9" customHeight="1">
      <c r="A17" s="414">
        <v>7</v>
      </c>
      <c r="B17" s="414" t="s">
        <v>321</v>
      </c>
      <c r="C17" s="18">
        <v>2214</v>
      </c>
      <c r="D17" s="226">
        <v>277</v>
      </c>
      <c r="E17" s="183"/>
      <c r="F17" s="183"/>
      <c r="G17" s="379" t="s">
        <v>344</v>
      </c>
      <c r="H17" s="298"/>
      <c r="I17" s="303"/>
      <c r="J17" s="230"/>
    </row>
    <row r="18" spans="1:10">
      <c r="A18" s="415"/>
      <c r="B18" s="415"/>
      <c r="C18" s="18">
        <v>2215</v>
      </c>
      <c r="D18" s="226">
        <v>1</v>
      </c>
      <c r="E18" s="183"/>
      <c r="F18" s="183"/>
      <c r="G18" s="423"/>
      <c r="H18" s="298"/>
      <c r="I18" s="303"/>
      <c r="J18" s="230"/>
    </row>
    <row r="19" spans="1:10">
      <c r="A19" s="415"/>
      <c r="B19" s="415"/>
      <c r="C19" s="18">
        <v>2222</v>
      </c>
      <c r="D19" s="226">
        <v>5</v>
      </c>
      <c r="E19" s="183"/>
      <c r="F19" s="183"/>
      <c r="G19" s="423"/>
      <c r="H19" s="298"/>
      <c r="I19" s="303"/>
      <c r="J19" s="230"/>
    </row>
    <row r="20" spans="1:10">
      <c r="A20" s="415"/>
      <c r="B20" s="415"/>
      <c r="C20" s="18">
        <v>2224</v>
      </c>
      <c r="D20" s="226">
        <v>440</v>
      </c>
      <c r="E20" s="183"/>
      <c r="F20" s="183"/>
      <c r="G20" s="423"/>
      <c r="H20" s="298"/>
      <c r="I20" s="303"/>
      <c r="J20" s="230"/>
    </row>
    <row r="21" spans="1:10">
      <c r="A21" s="415"/>
      <c r="B21" s="415"/>
      <c r="C21" s="18">
        <v>3112</v>
      </c>
      <c r="D21" s="226">
        <v>12</v>
      </c>
      <c r="E21" s="183"/>
      <c r="F21" s="183"/>
      <c r="G21" s="380"/>
      <c r="H21" s="298"/>
      <c r="I21" s="303"/>
      <c r="J21" s="230"/>
    </row>
    <row r="22" spans="1:10">
      <c r="A22" s="415"/>
      <c r="B22" s="415"/>
      <c r="C22" s="18">
        <v>2222</v>
      </c>
      <c r="D22" s="225">
        <v>1500</v>
      </c>
      <c r="E22" s="225"/>
      <c r="F22" s="225"/>
      <c r="G22" s="11" t="s">
        <v>449</v>
      </c>
      <c r="H22" s="298"/>
      <c r="I22" s="303"/>
      <c r="J22" s="230"/>
    </row>
    <row r="23" spans="1:10">
      <c r="A23" s="414">
        <v>8</v>
      </c>
      <c r="B23" s="414" t="s">
        <v>228</v>
      </c>
      <c r="C23" s="18">
        <v>2215</v>
      </c>
      <c r="D23" s="226">
        <v>2.5</v>
      </c>
      <c r="E23" s="183"/>
      <c r="F23" s="183"/>
      <c r="G23" s="379" t="s">
        <v>344</v>
      </c>
      <c r="H23" s="298"/>
      <c r="I23" s="303"/>
      <c r="J23" s="230"/>
    </row>
    <row r="24" spans="1:10">
      <c r="A24" s="415"/>
      <c r="B24" s="415"/>
      <c r="C24" s="18">
        <v>2222</v>
      </c>
      <c r="D24" s="226">
        <v>2.2999999999999998</v>
      </c>
      <c r="E24" s="183"/>
      <c r="F24" s="183"/>
      <c r="G24" s="423"/>
      <c r="H24" s="298"/>
      <c r="I24" s="303"/>
      <c r="J24" s="230"/>
    </row>
    <row r="25" spans="1:10">
      <c r="A25" s="415"/>
      <c r="B25" s="415"/>
      <c r="C25" s="18">
        <v>2223</v>
      </c>
      <c r="D25" s="226">
        <v>2.8</v>
      </c>
      <c r="E25" s="183"/>
      <c r="F25" s="183"/>
      <c r="G25" s="423"/>
      <c r="H25" s="298"/>
      <c r="I25" s="303"/>
      <c r="J25" s="230"/>
    </row>
    <row r="26" spans="1:10">
      <c r="A26" s="416"/>
      <c r="B26" s="416"/>
      <c r="C26" s="18">
        <v>3112</v>
      </c>
      <c r="D26" s="226">
        <v>61</v>
      </c>
      <c r="E26" s="183"/>
      <c r="F26" s="183"/>
      <c r="G26" s="380"/>
      <c r="H26" s="298"/>
      <c r="I26" s="303"/>
      <c r="J26" s="230"/>
    </row>
    <row r="27" spans="1:10" ht="13.9" customHeight="1">
      <c r="A27" s="368">
        <v>9</v>
      </c>
      <c r="B27" s="414" t="s">
        <v>240</v>
      </c>
      <c r="C27" s="18">
        <v>2214</v>
      </c>
      <c r="D27" s="226">
        <v>4.8</v>
      </c>
      <c r="E27" s="183"/>
      <c r="F27" s="183"/>
      <c r="G27" s="379" t="s">
        <v>344</v>
      </c>
    </row>
    <row r="28" spans="1:10" ht="13.9" customHeight="1">
      <c r="A28" s="369"/>
      <c r="B28" s="415"/>
      <c r="C28" s="18">
        <v>2215</v>
      </c>
      <c r="D28" s="226">
        <v>49.6</v>
      </c>
      <c r="E28" s="183"/>
      <c r="F28" s="183"/>
      <c r="G28" s="380"/>
    </row>
    <row r="29" spans="1:10" ht="27.6" customHeight="1">
      <c r="A29" s="369"/>
      <c r="B29" s="415"/>
      <c r="C29" s="18">
        <v>2211</v>
      </c>
      <c r="D29" s="226">
        <v>20.2</v>
      </c>
      <c r="E29" s="183"/>
      <c r="F29" s="183"/>
      <c r="G29" s="11" t="s">
        <v>460</v>
      </c>
    </row>
    <row r="30" spans="1:10" ht="25.5">
      <c r="A30" s="18">
        <v>10</v>
      </c>
      <c r="B30" s="10" t="s">
        <v>331</v>
      </c>
      <c r="C30" s="18">
        <v>2511</v>
      </c>
      <c r="D30" s="226">
        <v>79.2</v>
      </c>
      <c r="E30" s="183"/>
      <c r="F30" s="183"/>
      <c r="G30" s="334" t="s">
        <v>344</v>
      </c>
      <c r="H30" s="319"/>
      <c r="I30" s="298"/>
      <c r="J30" s="299"/>
    </row>
    <row r="31" spans="1:10" ht="13.9" customHeight="1">
      <c r="A31" s="368">
        <v>11</v>
      </c>
      <c r="B31" s="368" t="s">
        <v>332</v>
      </c>
      <c r="C31" s="18">
        <v>2214</v>
      </c>
      <c r="D31" s="226">
        <v>25.4</v>
      </c>
      <c r="E31" s="183"/>
      <c r="F31" s="183"/>
      <c r="G31" s="379" t="s">
        <v>344</v>
      </c>
      <c r="I31" s="298"/>
      <c r="J31" s="299"/>
    </row>
    <row r="32" spans="1:10">
      <c r="A32" s="369"/>
      <c r="B32" s="369"/>
      <c r="C32" s="18">
        <v>2222</v>
      </c>
      <c r="D32" s="226">
        <v>403.3</v>
      </c>
      <c r="E32" s="183"/>
      <c r="F32" s="183"/>
      <c r="G32" s="380"/>
      <c r="I32" s="298"/>
      <c r="J32" s="299"/>
    </row>
    <row r="33" spans="1:10" ht="13.9" customHeight="1">
      <c r="A33" s="368">
        <v>12</v>
      </c>
      <c r="B33" s="368" t="s">
        <v>13</v>
      </c>
      <c r="C33" s="18">
        <v>2214</v>
      </c>
      <c r="D33" s="226">
        <v>165.9</v>
      </c>
      <c r="E33" s="183"/>
      <c r="F33" s="183"/>
      <c r="G33" s="379" t="s">
        <v>344</v>
      </c>
      <c r="I33" s="298"/>
      <c r="J33" s="299"/>
    </row>
    <row r="34" spans="1:10">
      <c r="A34" s="369"/>
      <c r="B34" s="369"/>
      <c r="C34" s="18">
        <v>2215</v>
      </c>
      <c r="D34" s="226">
        <v>214</v>
      </c>
      <c r="E34" s="183"/>
      <c r="F34" s="183"/>
      <c r="G34" s="423"/>
      <c r="I34" s="298"/>
      <c r="J34" s="299"/>
    </row>
    <row r="35" spans="1:10">
      <c r="A35" s="369"/>
      <c r="B35" s="369"/>
      <c r="C35" s="18">
        <v>2222</v>
      </c>
      <c r="D35" s="226">
        <v>323.10000000000002</v>
      </c>
      <c r="E35" s="183"/>
      <c r="F35" s="183"/>
      <c r="G35" s="423"/>
      <c r="I35" s="298"/>
      <c r="J35" s="299"/>
    </row>
    <row r="36" spans="1:10">
      <c r="A36" s="369"/>
      <c r="B36" s="369"/>
      <c r="C36" s="18">
        <v>3111</v>
      </c>
      <c r="D36" s="226">
        <v>62.1</v>
      </c>
      <c r="E36" s="183"/>
      <c r="F36" s="183"/>
      <c r="G36" s="423"/>
      <c r="I36" s="298"/>
      <c r="J36" s="299"/>
    </row>
    <row r="37" spans="1:10">
      <c r="A37" s="369"/>
      <c r="B37" s="369"/>
      <c r="C37" s="18">
        <v>3113</v>
      </c>
      <c r="D37" s="226">
        <v>90</v>
      </c>
      <c r="E37" s="183"/>
      <c r="F37" s="183"/>
      <c r="G37" s="423"/>
      <c r="I37" s="298"/>
      <c r="J37" s="299"/>
    </row>
    <row r="38" spans="1:10">
      <c r="A38" s="369"/>
      <c r="B38" s="369"/>
      <c r="C38" s="18">
        <v>3112</v>
      </c>
      <c r="D38" s="226">
        <f>182.2+303.6</f>
        <v>485.8</v>
      </c>
      <c r="E38" s="183"/>
      <c r="F38" s="183"/>
      <c r="G38" s="380"/>
      <c r="I38" s="298"/>
      <c r="J38" s="299"/>
    </row>
    <row r="39" spans="1:10">
      <c r="A39" s="371"/>
      <c r="B39" s="371"/>
      <c r="C39" s="18">
        <v>3112</v>
      </c>
      <c r="D39" s="226">
        <v>1971.2</v>
      </c>
      <c r="E39" s="183"/>
      <c r="F39" s="183"/>
      <c r="G39" s="300" t="s">
        <v>356</v>
      </c>
      <c r="I39" s="298"/>
      <c r="J39" s="299"/>
    </row>
    <row r="40" spans="1:10" ht="13.9" customHeight="1">
      <c r="A40" s="368">
        <v>13</v>
      </c>
      <c r="B40" s="368" t="s">
        <v>12</v>
      </c>
      <c r="C40" s="18">
        <v>2214</v>
      </c>
      <c r="D40" s="226">
        <v>42.6</v>
      </c>
      <c r="E40" s="183"/>
      <c r="F40" s="183"/>
      <c r="G40" s="413" t="s">
        <v>344</v>
      </c>
      <c r="I40" s="298"/>
      <c r="J40" s="299"/>
    </row>
    <row r="41" spans="1:10">
      <c r="A41" s="369"/>
      <c r="B41" s="369"/>
      <c r="C41" s="18">
        <v>2215</v>
      </c>
      <c r="D41" s="226">
        <v>14.2</v>
      </c>
      <c r="E41" s="183"/>
      <c r="F41" s="183"/>
      <c r="G41" s="413"/>
      <c r="I41" s="298"/>
      <c r="J41" s="299"/>
    </row>
    <row r="42" spans="1:10">
      <c r="A42" s="369"/>
      <c r="B42" s="369"/>
      <c r="C42" s="18">
        <v>2221</v>
      </c>
      <c r="D42" s="226">
        <v>25.8</v>
      </c>
      <c r="E42" s="183"/>
      <c r="F42" s="183"/>
      <c r="G42" s="413"/>
      <c r="I42" s="298"/>
      <c r="J42" s="299"/>
    </row>
    <row r="43" spans="1:10">
      <c r="A43" s="369"/>
      <c r="B43" s="369"/>
      <c r="C43" s="18">
        <v>2222</v>
      </c>
      <c r="D43" s="226">
        <f>707.3+69</f>
        <v>776.3</v>
      </c>
      <c r="E43" s="183"/>
      <c r="F43" s="183"/>
      <c r="G43" s="413"/>
      <c r="I43" s="298"/>
      <c r="J43" s="299"/>
    </row>
    <row r="44" spans="1:10">
      <c r="A44" s="369"/>
      <c r="B44" s="369"/>
      <c r="C44" s="18">
        <v>3111</v>
      </c>
      <c r="D44" s="226">
        <v>150.30000000000001</v>
      </c>
      <c r="E44" s="183"/>
      <c r="F44" s="183"/>
      <c r="G44" s="413"/>
      <c r="I44" s="298"/>
      <c r="J44" s="299"/>
    </row>
    <row r="45" spans="1:10">
      <c r="A45" s="369"/>
      <c r="B45" s="369"/>
      <c r="C45" s="18">
        <v>3112</v>
      </c>
      <c r="D45" s="226">
        <v>339.4</v>
      </c>
      <c r="E45" s="183"/>
      <c r="F45" s="183"/>
      <c r="G45" s="413"/>
      <c r="I45" s="298"/>
      <c r="J45" s="299"/>
    </row>
    <row r="46" spans="1:10">
      <c r="A46" s="369"/>
      <c r="B46" s="369"/>
      <c r="C46" s="340">
        <v>2222</v>
      </c>
      <c r="D46" s="341">
        <v>1450</v>
      </c>
      <c r="E46" s="341"/>
      <c r="F46" s="341"/>
      <c r="G46" s="342" t="s">
        <v>450</v>
      </c>
      <c r="I46" s="298"/>
      <c r="J46" s="299"/>
    </row>
    <row r="47" spans="1:10">
      <c r="A47" s="369"/>
      <c r="B47" s="369"/>
      <c r="C47" s="18">
        <v>2222</v>
      </c>
      <c r="D47" s="226">
        <v>1000</v>
      </c>
      <c r="E47" s="183"/>
      <c r="F47" s="183"/>
      <c r="G47" s="76" t="s">
        <v>434</v>
      </c>
      <c r="I47" s="298"/>
      <c r="J47" s="299"/>
    </row>
    <row r="48" spans="1:10">
      <c r="A48" s="369"/>
      <c r="B48" s="369"/>
      <c r="C48" s="18">
        <v>2222</v>
      </c>
      <c r="D48" s="226">
        <v>3000</v>
      </c>
      <c r="E48" s="183"/>
      <c r="F48" s="183"/>
      <c r="G48" s="76" t="s">
        <v>435</v>
      </c>
      <c r="I48" s="298"/>
      <c r="J48" s="299"/>
    </row>
    <row r="49" spans="1:10">
      <c r="A49" s="371"/>
      <c r="B49" s="371"/>
      <c r="C49" s="18">
        <v>2222</v>
      </c>
      <c r="D49" s="226">
        <v>1142</v>
      </c>
      <c r="E49" s="183"/>
      <c r="F49" s="183"/>
      <c r="G49" s="76" t="s">
        <v>422</v>
      </c>
      <c r="I49" s="298"/>
      <c r="J49" s="299"/>
    </row>
    <row r="50" spans="1:10" ht="25.5">
      <c r="A50" s="229">
        <v>14</v>
      </c>
      <c r="B50" s="229" t="s">
        <v>396</v>
      </c>
      <c r="C50" s="18">
        <v>2215</v>
      </c>
      <c r="D50" s="183">
        <v>119.9</v>
      </c>
      <c r="E50" s="183"/>
      <c r="F50" s="183"/>
      <c r="G50" s="11" t="s">
        <v>400</v>
      </c>
    </row>
    <row r="51" spans="1:10" ht="25.5">
      <c r="A51" s="368">
        <v>15</v>
      </c>
      <c r="B51" s="368" t="s">
        <v>14</v>
      </c>
      <c r="C51" s="18">
        <v>2215</v>
      </c>
      <c r="D51" s="226">
        <v>281.2</v>
      </c>
      <c r="E51" s="183"/>
      <c r="F51" s="183"/>
      <c r="G51" s="11" t="s">
        <v>344</v>
      </c>
      <c r="I51" s="298"/>
      <c r="J51" s="299"/>
    </row>
    <row r="52" spans="1:10" ht="25.5">
      <c r="A52" s="369"/>
      <c r="B52" s="369"/>
      <c r="C52" s="18">
        <v>2215</v>
      </c>
      <c r="D52" s="226">
        <v>5235.8999999999996</v>
      </c>
      <c r="E52" s="183"/>
      <c r="F52" s="183"/>
      <c r="G52" s="11" t="s">
        <v>425</v>
      </c>
      <c r="I52" s="298"/>
      <c r="J52" s="299"/>
    </row>
    <row r="53" spans="1:10" ht="25.5">
      <c r="A53" s="18">
        <v>16</v>
      </c>
      <c r="B53" s="18" t="s">
        <v>164</v>
      </c>
      <c r="C53" s="18">
        <v>3112</v>
      </c>
      <c r="D53" s="226">
        <v>245</v>
      </c>
      <c r="E53" s="183"/>
      <c r="F53" s="183"/>
      <c r="G53" s="11" t="s">
        <v>451</v>
      </c>
      <c r="I53" s="298"/>
      <c r="J53" s="299"/>
    </row>
    <row r="54" spans="1:10" ht="13.15" customHeight="1">
      <c r="A54" s="368">
        <v>17</v>
      </c>
      <c r="B54" s="368" t="s">
        <v>333</v>
      </c>
      <c r="C54" s="18">
        <v>2214</v>
      </c>
      <c r="D54" s="226">
        <v>5.5</v>
      </c>
      <c r="E54" s="183"/>
      <c r="F54" s="183"/>
      <c r="G54" s="417" t="s">
        <v>344</v>
      </c>
      <c r="I54" s="298"/>
      <c r="J54" s="299"/>
    </row>
    <row r="55" spans="1:10">
      <c r="A55" s="369"/>
      <c r="B55" s="369"/>
      <c r="C55" s="18">
        <v>2215</v>
      </c>
      <c r="D55" s="226">
        <f>2.4+3</f>
        <v>5.4</v>
      </c>
      <c r="E55" s="183"/>
      <c r="F55" s="183"/>
      <c r="G55" s="418"/>
      <c r="I55" s="298"/>
      <c r="J55" s="299"/>
    </row>
    <row r="56" spans="1:10">
      <c r="A56" s="371"/>
      <c r="B56" s="371"/>
      <c r="C56" s="18">
        <v>2222</v>
      </c>
      <c r="D56" s="226">
        <v>3.5</v>
      </c>
      <c r="E56" s="183"/>
      <c r="F56" s="183"/>
      <c r="G56" s="419"/>
    </row>
    <row r="57" spans="1:10" ht="13.9" customHeight="1">
      <c r="A57" s="414">
        <v>18</v>
      </c>
      <c r="B57" s="414" t="s">
        <v>15</v>
      </c>
      <c r="C57" s="18">
        <v>2215</v>
      </c>
      <c r="D57" s="226">
        <v>71.8</v>
      </c>
      <c r="E57" s="183"/>
      <c r="F57" s="183"/>
      <c r="G57" s="417" t="s">
        <v>344</v>
      </c>
    </row>
    <row r="58" spans="1:10" ht="13.9" customHeight="1">
      <c r="A58" s="415"/>
      <c r="B58" s="415"/>
      <c r="C58" s="18">
        <v>2221</v>
      </c>
      <c r="D58" s="226">
        <v>925.1</v>
      </c>
      <c r="E58" s="183"/>
      <c r="F58" s="183"/>
      <c r="G58" s="418"/>
    </row>
    <row r="59" spans="1:10" ht="13.9" customHeight="1">
      <c r="A59" s="415"/>
      <c r="B59" s="415"/>
      <c r="C59" s="18">
        <v>2222</v>
      </c>
      <c r="D59" s="226">
        <v>96.3</v>
      </c>
      <c r="E59" s="183"/>
      <c r="F59" s="183"/>
      <c r="G59" s="418"/>
    </row>
    <row r="60" spans="1:10">
      <c r="A60" s="415"/>
      <c r="B60" s="415"/>
      <c r="C60" s="18">
        <v>2224</v>
      </c>
      <c r="D60" s="226">
        <v>1457.4</v>
      </c>
      <c r="E60" s="183"/>
      <c r="F60" s="183"/>
      <c r="G60" s="418"/>
    </row>
    <row r="61" spans="1:10">
      <c r="A61" s="415"/>
      <c r="B61" s="415"/>
      <c r="C61" s="18">
        <v>3112</v>
      </c>
      <c r="D61" s="226">
        <v>467.3</v>
      </c>
      <c r="E61" s="183"/>
      <c r="F61" s="183"/>
      <c r="G61" s="419"/>
    </row>
    <row r="62" spans="1:10" ht="25.5">
      <c r="A62" s="415"/>
      <c r="B62" s="415"/>
      <c r="C62" s="18">
        <v>22311100</v>
      </c>
      <c r="D62" s="226">
        <v>726.7</v>
      </c>
      <c r="E62" s="183"/>
      <c r="F62" s="183"/>
      <c r="G62" s="339" t="s">
        <v>409</v>
      </c>
    </row>
    <row r="63" spans="1:10">
      <c r="A63" s="415"/>
      <c r="B63" s="415"/>
      <c r="C63" s="18">
        <v>2721</v>
      </c>
      <c r="D63" s="226">
        <v>1430</v>
      </c>
      <c r="E63" s="183"/>
      <c r="F63" s="183"/>
      <c r="G63" s="11" t="s">
        <v>499</v>
      </c>
    </row>
    <row r="64" spans="1:10" ht="25.5">
      <c r="A64" s="416"/>
      <c r="B64" s="416"/>
      <c r="C64" s="18">
        <v>2215</v>
      </c>
      <c r="D64" s="226">
        <v>105</v>
      </c>
      <c r="E64" s="183"/>
      <c r="F64" s="183"/>
      <c r="G64" s="11" t="s">
        <v>446</v>
      </c>
    </row>
    <row r="65" spans="1:9" ht="25.5">
      <c r="A65" s="368">
        <v>19</v>
      </c>
      <c r="B65" s="368" t="s">
        <v>334</v>
      </c>
      <c r="C65" s="18">
        <v>2221</v>
      </c>
      <c r="D65" s="226">
        <v>4</v>
      </c>
      <c r="E65" s="183"/>
      <c r="F65" s="183"/>
      <c r="G65" s="338" t="s">
        <v>344</v>
      </c>
    </row>
    <row r="66" spans="1:9">
      <c r="A66" s="371"/>
      <c r="B66" s="371"/>
      <c r="C66" s="18">
        <v>2721</v>
      </c>
      <c r="D66" s="226">
        <v>6</v>
      </c>
      <c r="E66" s="183"/>
      <c r="F66" s="183"/>
      <c r="G66" s="11" t="s">
        <v>499</v>
      </c>
    </row>
    <row r="67" spans="1:9">
      <c r="A67" s="414">
        <v>20</v>
      </c>
      <c r="B67" s="414" t="s">
        <v>323</v>
      </c>
      <c r="C67" s="18">
        <v>2215</v>
      </c>
      <c r="D67" s="226">
        <v>3.1</v>
      </c>
      <c r="E67" s="183"/>
      <c r="F67" s="183"/>
      <c r="G67" s="417" t="s">
        <v>344</v>
      </c>
    </row>
    <row r="68" spans="1:9">
      <c r="A68" s="415"/>
      <c r="B68" s="415"/>
      <c r="C68" s="18">
        <v>2218</v>
      </c>
      <c r="D68" s="226">
        <v>147.5</v>
      </c>
      <c r="E68" s="183"/>
      <c r="F68" s="183"/>
      <c r="G68" s="418"/>
    </row>
    <row r="69" spans="1:9">
      <c r="A69" s="415"/>
      <c r="B69" s="415"/>
      <c r="C69" s="18">
        <v>2221</v>
      </c>
      <c r="D69" s="226">
        <v>342.6</v>
      </c>
      <c r="E69" s="183"/>
      <c r="F69" s="183"/>
      <c r="G69" s="418"/>
    </row>
    <row r="70" spans="1:9">
      <c r="A70" s="415"/>
      <c r="B70" s="415"/>
      <c r="C70" s="18">
        <v>2222</v>
      </c>
      <c r="D70" s="226">
        <v>384.3</v>
      </c>
      <c r="E70" s="183"/>
      <c r="F70" s="183"/>
      <c r="G70" s="418"/>
    </row>
    <row r="71" spans="1:9">
      <c r="A71" s="415"/>
      <c r="B71" s="415"/>
      <c r="C71" s="18">
        <v>2224</v>
      </c>
      <c r="D71" s="226">
        <v>753.8</v>
      </c>
      <c r="E71" s="183"/>
      <c r="F71" s="183"/>
      <c r="G71" s="418"/>
    </row>
    <row r="72" spans="1:9">
      <c r="A72" s="415"/>
      <c r="B72" s="415"/>
      <c r="C72" s="18">
        <v>3112</v>
      </c>
      <c r="D72" s="226">
        <v>162.80000000000001</v>
      </c>
      <c r="E72" s="183"/>
      <c r="F72" s="183"/>
      <c r="G72" s="419"/>
    </row>
    <row r="73" spans="1:9">
      <c r="A73" s="415"/>
      <c r="B73" s="415"/>
      <c r="C73" s="18">
        <v>22311400</v>
      </c>
      <c r="D73" s="226">
        <v>400</v>
      </c>
      <c r="E73" s="183"/>
      <c r="F73" s="183"/>
      <c r="G73" s="300" t="s">
        <v>503</v>
      </c>
    </row>
    <row r="74" spans="1:9">
      <c r="A74" s="415"/>
      <c r="B74" s="415"/>
      <c r="C74" s="18">
        <v>2721</v>
      </c>
      <c r="D74" s="226">
        <v>160</v>
      </c>
      <c r="E74" s="183"/>
      <c r="F74" s="183"/>
      <c r="G74" s="11" t="s">
        <v>499</v>
      </c>
    </row>
    <row r="75" spans="1:9" ht="25.5">
      <c r="A75" s="416"/>
      <c r="B75" s="416"/>
      <c r="C75" s="229">
        <v>2215</v>
      </c>
      <c r="D75" s="343">
        <v>90</v>
      </c>
      <c r="E75" s="344"/>
      <c r="F75" s="183"/>
      <c r="G75" s="11" t="s">
        <v>446</v>
      </c>
    </row>
    <row r="76" spans="1:9" ht="26.25" thickBot="1">
      <c r="A76" s="345">
        <v>21</v>
      </c>
      <c r="B76" s="346" t="s">
        <v>16</v>
      </c>
      <c r="C76" s="345">
        <v>2721</v>
      </c>
      <c r="D76" s="347">
        <v>119</v>
      </c>
      <c r="E76" s="348"/>
      <c r="F76" s="348"/>
      <c r="G76" s="349" t="s">
        <v>344</v>
      </c>
      <c r="I76" s="303"/>
    </row>
    <row r="77" spans="1:9">
      <c r="A77" s="371">
        <v>1</v>
      </c>
      <c r="B77" s="416" t="s">
        <v>330</v>
      </c>
      <c r="C77" s="255">
        <v>2111</v>
      </c>
      <c r="D77" s="350"/>
      <c r="E77" s="350">
        <v>39.4</v>
      </c>
      <c r="F77" s="350">
        <v>39.4</v>
      </c>
      <c r="G77" s="380" t="s">
        <v>343</v>
      </c>
      <c r="I77" s="303"/>
    </row>
    <row r="78" spans="1:9">
      <c r="A78" s="378"/>
      <c r="B78" s="410"/>
      <c r="C78" s="255">
        <v>2121</v>
      </c>
      <c r="D78" s="350"/>
      <c r="E78" s="350">
        <v>5.6</v>
      </c>
      <c r="F78" s="350">
        <v>5.6</v>
      </c>
      <c r="G78" s="413"/>
      <c r="I78" s="303"/>
    </row>
    <row r="79" spans="1:9">
      <c r="A79" s="378"/>
      <c r="B79" s="410"/>
      <c r="C79" s="255">
        <v>2211</v>
      </c>
      <c r="D79" s="350"/>
      <c r="E79" s="350"/>
      <c r="F79" s="350">
        <v>100</v>
      </c>
      <c r="G79" s="335" t="s">
        <v>501</v>
      </c>
      <c r="I79" s="303"/>
    </row>
    <row r="80" spans="1:9">
      <c r="A80" s="378"/>
      <c r="B80" s="410"/>
      <c r="C80" s="255">
        <v>2222</v>
      </c>
      <c r="D80" s="350"/>
      <c r="E80" s="350">
        <v>56</v>
      </c>
      <c r="F80" s="350">
        <v>56</v>
      </c>
      <c r="G80" s="300" t="s">
        <v>395</v>
      </c>
      <c r="I80" s="303"/>
    </row>
    <row r="81" spans="1:10">
      <c r="A81" s="378"/>
      <c r="B81" s="410"/>
      <c r="C81" s="255">
        <v>2212</v>
      </c>
      <c r="D81" s="350"/>
      <c r="E81" s="350">
        <v>162.5</v>
      </c>
      <c r="F81" s="350">
        <v>162.5</v>
      </c>
      <c r="G81" s="300" t="s">
        <v>394</v>
      </c>
      <c r="I81" s="303"/>
    </row>
    <row r="82" spans="1:10">
      <c r="A82" s="378"/>
      <c r="B82" s="410"/>
      <c r="C82" s="255">
        <v>2214</v>
      </c>
      <c r="D82" s="350"/>
      <c r="E82" s="350">
        <v>15</v>
      </c>
      <c r="F82" s="350">
        <v>15</v>
      </c>
      <c r="G82" s="300" t="s">
        <v>393</v>
      </c>
      <c r="I82" s="303"/>
    </row>
    <row r="83" spans="1:10">
      <c r="A83" s="378"/>
      <c r="B83" s="410"/>
      <c r="C83" s="255">
        <v>2215</v>
      </c>
      <c r="D83" s="350"/>
      <c r="E83" s="350">
        <v>2.4</v>
      </c>
      <c r="F83" s="350">
        <v>2.4</v>
      </c>
      <c r="G83" s="11" t="s">
        <v>402</v>
      </c>
      <c r="I83" s="303"/>
    </row>
    <row r="84" spans="1:10">
      <c r="A84" s="378"/>
      <c r="B84" s="410"/>
      <c r="C84" s="255">
        <v>2215</v>
      </c>
      <c r="D84" s="350"/>
      <c r="E84" s="350">
        <v>7.6</v>
      </c>
      <c r="F84" s="350">
        <v>7.6</v>
      </c>
      <c r="G84" s="300" t="s">
        <v>452</v>
      </c>
    </row>
    <row r="85" spans="1:10">
      <c r="A85" s="378"/>
      <c r="B85" s="410"/>
      <c r="C85" s="255">
        <v>2222</v>
      </c>
      <c r="D85" s="350"/>
      <c r="E85" s="350">
        <v>20</v>
      </c>
      <c r="F85" s="350">
        <v>20</v>
      </c>
      <c r="G85" s="300" t="s">
        <v>453</v>
      </c>
    </row>
    <row r="86" spans="1:10">
      <c r="A86" s="378"/>
      <c r="B86" s="410"/>
      <c r="C86" s="255">
        <v>2215</v>
      </c>
      <c r="D86" s="350"/>
      <c r="E86" s="350">
        <v>1.1000000000000001</v>
      </c>
      <c r="F86" s="350">
        <v>1.1000000000000001</v>
      </c>
      <c r="G86" s="300" t="s">
        <v>455</v>
      </c>
    </row>
    <row r="87" spans="1:10">
      <c r="A87" s="378"/>
      <c r="B87" s="410"/>
      <c r="C87" s="255">
        <v>2222</v>
      </c>
      <c r="D87" s="350"/>
      <c r="E87" s="350">
        <v>4</v>
      </c>
      <c r="F87" s="350">
        <v>4</v>
      </c>
      <c r="G87" s="11" t="s">
        <v>454</v>
      </c>
    </row>
    <row r="88" spans="1:10">
      <c r="A88" s="378"/>
      <c r="B88" s="410"/>
      <c r="C88" s="255">
        <v>2222</v>
      </c>
      <c r="D88" s="350"/>
      <c r="E88" s="350">
        <v>85.5</v>
      </c>
      <c r="F88" s="350">
        <v>85.5</v>
      </c>
      <c r="G88" s="300" t="s">
        <v>457</v>
      </c>
    </row>
    <row r="89" spans="1:10">
      <c r="A89" s="378"/>
      <c r="B89" s="410"/>
      <c r="C89" s="255">
        <v>3112</v>
      </c>
      <c r="D89" s="350"/>
      <c r="E89" s="350">
        <v>500</v>
      </c>
      <c r="F89" s="350">
        <v>500</v>
      </c>
      <c r="G89" s="300" t="s">
        <v>477</v>
      </c>
    </row>
    <row r="90" spans="1:10">
      <c r="A90" s="378"/>
      <c r="B90" s="410"/>
      <c r="C90" s="255">
        <v>2621</v>
      </c>
      <c r="D90" s="350"/>
      <c r="E90" s="350">
        <v>272</v>
      </c>
      <c r="F90" s="350">
        <v>164.8</v>
      </c>
      <c r="G90" s="300" t="s">
        <v>479</v>
      </c>
    </row>
    <row r="91" spans="1:10">
      <c r="A91" s="378"/>
      <c r="B91" s="410"/>
      <c r="C91" s="255">
        <v>2222</v>
      </c>
      <c r="D91" s="350"/>
      <c r="E91" s="350"/>
      <c r="F91" s="350">
        <v>10</v>
      </c>
      <c r="G91" s="300" t="s">
        <v>488</v>
      </c>
    </row>
    <row r="92" spans="1:10">
      <c r="A92" s="378"/>
      <c r="B92" s="410"/>
      <c r="C92" s="255">
        <v>3112</v>
      </c>
      <c r="D92" s="350"/>
      <c r="E92" s="350">
        <v>25.5</v>
      </c>
      <c r="F92" s="350">
        <v>25.5</v>
      </c>
      <c r="G92" s="300" t="s">
        <v>458</v>
      </c>
    </row>
    <row r="93" spans="1:10">
      <c r="A93" s="406" t="s">
        <v>439</v>
      </c>
      <c r="B93" s="407"/>
      <c r="C93" s="407"/>
      <c r="D93" s="408"/>
      <c r="E93" s="351">
        <f>SUM(E77:E92)</f>
        <v>1196.5999999999999</v>
      </c>
      <c r="F93" s="351">
        <f>SUM(F77:F92)</f>
        <v>1199.4000000000001</v>
      </c>
      <c r="G93" s="300"/>
      <c r="H93" s="303"/>
      <c r="I93" s="303"/>
    </row>
    <row r="94" spans="1:10">
      <c r="A94" s="378">
        <v>2</v>
      </c>
      <c r="B94" s="378" t="s">
        <v>10</v>
      </c>
      <c r="C94" s="255">
        <v>2215</v>
      </c>
      <c r="D94" s="350"/>
      <c r="E94" s="350">
        <v>1.4</v>
      </c>
      <c r="F94" s="350">
        <v>1.4</v>
      </c>
      <c r="G94" s="11" t="s">
        <v>402</v>
      </c>
      <c r="I94" s="303"/>
      <c r="J94" s="297"/>
    </row>
    <row r="95" spans="1:10">
      <c r="A95" s="378"/>
      <c r="B95" s="378"/>
      <c r="C95" s="255">
        <v>2215</v>
      </c>
      <c r="D95" s="350"/>
      <c r="E95" s="350">
        <v>2.4</v>
      </c>
      <c r="F95" s="350">
        <v>2.4</v>
      </c>
      <c r="G95" s="11" t="s">
        <v>402</v>
      </c>
      <c r="I95" s="303"/>
      <c r="J95" s="297"/>
    </row>
    <row r="96" spans="1:10">
      <c r="A96" s="378"/>
      <c r="B96" s="378"/>
      <c r="C96" s="255">
        <v>2215</v>
      </c>
      <c r="D96" s="350"/>
      <c r="E96" s="350">
        <v>50</v>
      </c>
      <c r="F96" s="350">
        <v>135</v>
      </c>
      <c r="G96" s="11" t="s">
        <v>403</v>
      </c>
      <c r="I96" s="303"/>
      <c r="J96" s="297"/>
    </row>
    <row r="97" spans="1:10">
      <c r="A97" s="378"/>
      <c r="B97" s="378"/>
      <c r="C97" s="255">
        <v>2215</v>
      </c>
      <c r="D97" s="350"/>
      <c r="E97" s="350">
        <v>1.1000000000000001</v>
      </c>
      <c r="F97" s="350">
        <v>1.1000000000000001</v>
      </c>
      <c r="G97" s="11" t="s">
        <v>455</v>
      </c>
      <c r="I97" s="303"/>
      <c r="J97" s="297"/>
    </row>
    <row r="98" spans="1:10">
      <c r="A98" s="378"/>
      <c r="B98" s="378"/>
      <c r="C98" s="255">
        <v>2222</v>
      </c>
      <c r="D98" s="350"/>
      <c r="E98" s="350"/>
      <c r="F98" s="350">
        <v>5</v>
      </c>
      <c r="G98" s="11" t="s">
        <v>493</v>
      </c>
      <c r="I98" s="303"/>
      <c r="J98" s="297"/>
    </row>
    <row r="99" spans="1:10">
      <c r="A99" s="378"/>
      <c r="B99" s="378"/>
      <c r="C99" s="255">
        <v>3112</v>
      </c>
      <c r="D99" s="350"/>
      <c r="E99" s="350"/>
      <c r="F99" s="350">
        <v>17</v>
      </c>
      <c r="G99" s="11" t="s">
        <v>494</v>
      </c>
      <c r="I99" s="303"/>
      <c r="J99" s="297"/>
    </row>
    <row r="100" spans="1:10">
      <c r="A100" s="378"/>
      <c r="B100" s="378"/>
      <c r="C100" s="255">
        <v>3112</v>
      </c>
      <c r="D100" s="350"/>
      <c r="E100" s="350"/>
      <c r="F100" s="350">
        <v>20</v>
      </c>
      <c r="G100" s="11" t="s">
        <v>498</v>
      </c>
      <c r="I100" s="303"/>
      <c r="J100" s="297"/>
    </row>
    <row r="101" spans="1:10">
      <c r="A101" s="378"/>
      <c r="B101" s="378"/>
      <c r="C101" s="255">
        <v>3112</v>
      </c>
      <c r="D101" s="350"/>
      <c r="E101" s="350"/>
      <c r="F101" s="350">
        <v>50.1</v>
      </c>
      <c r="G101" s="11" t="s">
        <v>495</v>
      </c>
      <c r="I101" s="303"/>
      <c r="J101" s="297"/>
    </row>
    <row r="102" spans="1:10">
      <c r="A102" s="378"/>
      <c r="B102" s="378"/>
      <c r="C102" s="255">
        <v>2222</v>
      </c>
      <c r="D102" s="350"/>
      <c r="E102" s="350">
        <v>3</v>
      </c>
      <c r="F102" s="350">
        <v>3</v>
      </c>
      <c r="G102" s="11" t="s">
        <v>454</v>
      </c>
      <c r="I102" s="303"/>
      <c r="J102" s="297"/>
    </row>
    <row r="103" spans="1:10">
      <c r="A103" s="406" t="s">
        <v>439</v>
      </c>
      <c r="B103" s="407"/>
      <c r="C103" s="407"/>
      <c r="D103" s="408"/>
      <c r="E103" s="352">
        <f>SUM(E94:E102)</f>
        <v>57.9</v>
      </c>
      <c r="F103" s="352">
        <f>SUM(F94:F102)</f>
        <v>235</v>
      </c>
      <c r="G103" s="11"/>
      <c r="H103" s="303"/>
      <c r="I103" s="303"/>
      <c r="J103" s="297"/>
    </row>
    <row r="104" spans="1:10">
      <c r="A104" s="378">
        <v>3</v>
      </c>
      <c r="B104" s="410" t="s">
        <v>335</v>
      </c>
      <c r="C104" s="18">
        <v>2111</v>
      </c>
      <c r="D104" s="226"/>
      <c r="E104" s="226">
        <v>49.3</v>
      </c>
      <c r="F104" s="226">
        <v>49.3</v>
      </c>
      <c r="G104" s="413" t="s">
        <v>343</v>
      </c>
      <c r="H104" s="298"/>
      <c r="I104" s="298"/>
      <c r="J104" s="297"/>
    </row>
    <row r="105" spans="1:10">
      <c r="A105" s="378"/>
      <c r="B105" s="410"/>
      <c r="C105" s="18">
        <v>2121</v>
      </c>
      <c r="D105" s="226"/>
      <c r="E105" s="226">
        <v>7</v>
      </c>
      <c r="F105" s="226">
        <v>7</v>
      </c>
      <c r="G105" s="413"/>
      <c r="H105" s="298"/>
      <c r="I105" s="298"/>
      <c r="J105" s="297"/>
    </row>
    <row r="106" spans="1:10">
      <c r="A106" s="378"/>
      <c r="B106" s="410"/>
      <c r="C106" s="18">
        <v>2215</v>
      </c>
      <c r="D106" s="226"/>
      <c r="E106" s="226">
        <v>2.4</v>
      </c>
      <c r="F106" s="226">
        <v>2.4</v>
      </c>
      <c r="G106" s="11" t="s">
        <v>402</v>
      </c>
      <c r="H106" s="298"/>
      <c r="I106" s="298"/>
      <c r="J106" s="297"/>
    </row>
    <row r="107" spans="1:10">
      <c r="A107" s="378"/>
      <c r="B107" s="410"/>
      <c r="C107" s="18">
        <v>2231</v>
      </c>
      <c r="D107" s="226"/>
      <c r="E107" s="226">
        <v>139.5</v>
      </c>
      <c r="F107" s="226">
        <v>139.5</v>
      </c>
      <c r="G107" s="11" t="s">
        <v>398</v>
      </c>
      <c r="H107" s="298"/>
      <c r="I107" s="298"/>
      <c r="J107" s="297"/>
    </row>
    <row r="108" spans="1:10">
      <c r="A108" s="378"/>
      <c r="B108" s="410"/>
      <c r="C108" s="18">
        <v>2215</v>
      </c>
      <c r="D108" s="226"/>
      <c r="E108" s="226">
        <v>5.5</v>
      </c>
      <c r="F108" s="226">
        <v>5.5</v>
      </c>
      <c r="G108" s="11" t="s">
        <v>455</v>
      </c>
      <c r="H108" s="298"/>
      <c r="I108" s="298"/>
      <c r="J108" s="297"/>
    </row>
    <row r="109" spans="1:10">
      <c r="A109" s="378"/>
      <c r="B109" s="410"/>
      <c r="C109" s="18">
        <v>2222</v>
      </c>
      <c r="D109" s="226"/>
      <c r="E109" s="226">
        <v>10</v>
      </c>
      <c r="F109" s="226">
        <v>10</v>
      </c>
      <c r="G109" s="11" t="s">
        <v>454</v>
      </c>
      <c r="H109" s="298"/>
      <c r="I109" s="298"/>
      <c r="J109" s="297"/>
    </row>
    <row r="110" spans="1:10">
      <c r="A110" s="409" t="s">
        <v>439</v>
      </c>
      <c r="B110" s="409"/>
      <c r="C110" s="409"/>
      <c r="D110" s="409"/>
      <c r="E110" s="352">
        <f>SUM(E104:E109)</f>
        <v>213.7</v>
      </c>
      <c r="F110" s="352">
        <f>SUM(F104:F109)</f>
        <v>213.7</v>
      </c>
      <c r="G110" s="11"/>
      <c r="H110" s="298"/>
      <c r="I110" s="298"/>
      <c r="J110" s="297"/>
    </row>
    <row r="111" spans="1:10">
      <c r="A111" s="368">
        <v>4</v>
      </c>
      <c r="B111" s="368" t="s">
        <v>238</v>
      </c>
      <c r="C111" s="18">
        <v>2111</v>
      </c>
      <c r="D111" s="226"/>
      <c r="E111" s="183">
        <v>40.700000000000003</v>
      </c>
      <c r="F111" s="183">
        <v>40.700000000000003</v>
      </c>
      <c r="G111" s="413" t="s">
        <v>343</v>
      </c>
      <c r="H111" s="298"/>
      <c r="I111" s="298"/>
      <c r="J111" s="299"/>
    </row>
    <row r="112" spans="1:10">
      <c r="A112" s="369"/>
      <c r="B112" s="369"/>
      <c r="C112" s="18">
        <v>2121</v>
      </c>
      <c r="D112" s="226"/>
      <c r="E112" s="183">
        <v>7</v>
      </c>
      <c r="F112" s="183">
        <v>7</v>
      </c>
      <c r="G112" s="413"/>
      <c r="H112" s="298"/>
      <c r="I112" s="298"/>
      <c r="J112" s="299"/>
    </row>
    <row r="113" spans="1:10">
      <c r="A113" s="369"/>
      <c r="B113" s="369"/>
      <c r="C113" s="18">
        <v>2215</v>
      </c>
      <c r="D113" s="226"/>
      <c r="E113" s="183">
        <v>10</v>
      </c>
      <c r="F113" s="183">
        <v>10</v>
      </c>
      <c r="G113" s="11" t="s">
        <v>456</v>
      </c>
      <c r="H113" s="298"/>
      <c r="I113" s="298"/>
      <c r="J113" s="299"/>
    </row>
    <row r="114" spans="1:10">
      <c r="A114" s="369"/>
      <c r="B114" s="369"/>
      <c r="C114" s="18">
        <v>2215</v>
      </c>
      <c r="D114" s="226"/>
      <c r="E114" s="183">
        <v>1.1000000000000001</v>
      </c>
      <c r="F114" s="183">
        <v>1.1000000000000001</v>
      </c>
      <c r="G114" s="11" t="s">
        <v>455</v>
      </c>
      <c r="H114" s="298"/>
      <c r="I114" s="298"/>
      <c r="J114" s="299"/>
    </row>
    <row r="115" spans="1:10">
      <c r="A115" s="369"/>
      <c r="B115" s="369"/>
      <c r="C115" s="18">
        <v>2215</v>
      </c>
      <c r="D115" s="226"/>
      <c r="E115" s="183">
        <v>3</v>
      </c>
      <c r="F115" s="183">
        <v>3</v>
      </c>
      <c r="G115" s="11" t="s">
        <v>471</v>
      </c>
      <c r="H115" s="298"/>
      <c r="I115" s="298"/>
      <c r="J115" s="299"/>
    </row>
    <row r="116" spans="1:10" s="301" customFormat="1">
      <c r="A116" s="406" t="s">
        <v>439</v>
      </c>
      <c r="B116" s="407"/>
      <c r="C116" s="407"/>
      <c r="D116" s="408"/>
      <c r="E116" s="353">
        <f>SUM(E111:E115)</f>
        <v>61.800000000000004</v>
      </c>
      <c r="F116" s="353">
        <f>SUM(F111:F115)</f>
        <v>61.800000000000004</v>
      </c>
      <c r="G116" s="11"/>
      <c r="H116" s="303"/>
      <c r="J116" s="302"/>
    </row>
    <row r="117" spans="1:10" s="301" customFormat="1">
      <c r="A117" s="414">
        <v>5</v>
      </c>
      <c r="B117" s="414" t="s">
        <v>239</v>
      </c>
      <c r="C117" s="18">
        <v>2111</v>
      </c>
      <c r="D117" s="226"/>
      <c r="E117" s="183">
        <v>35.5</v>
      </c>
      <c r="F117" s="183">
        <v>35.5</v>
      </c>
      <c r="G117" s="413" t="s">
        <v>343</v>
      </c>
      <c r="J117" s="302"/>
    </row>
    <row r="118" spans="1:10" s="301" customFormat="1">
      <c r="A118" s="415"/>
      <c r="B118" s="415"/>
      <c r="C118" s="18">
        <v>2121</v>
      </c>
      <c r="D118" s="226"/>
      <c r="E118" s="183">
        <v>6.1</v>
      </c>
      <c r="F118" s="183">
        <v>6.1</v>
      </c>
      <c r="G118" s="413"/>
      <c r="J118" s="302"/>
    </row>
    <row r="119" spans="1:10" s="301" customFormat="1" ht="25.5">
      <c r="A119" s="415"/>
      <c r="B119" s="415"/>
      <c r="C119" s="18">
        <v>2215</v>
      </c>
      <c r="D119" s="226"/>
      <c r="E119" s="183">
        <v>4.9000000000000004</v>
      </c>
      <c r="F119" s="183">
        <v>4.9000000000000004</v>
      </c>
      <c r="G119" s="11" t="s">
        <v>391</v>
      </c>
      <c r="J119" s="302"/>
    </row>
    <row r="120" spans="1:10" s="301" customFormat="1">
      <c r="A120" s="415"/>
      <c r="B120" s="415"/>
      <c r="C120" s="18">
        <v>2215</v>
      </c>
      <c r="D120" s="226"/>
      <c r="E120" s="183">
        <v>1.1000000000000001</v>
      </c>
      <c r="F120" s="183">
        <v>1.1000000000000001</v>
      </c>
      <c r="G120" s="11" t="s">
        <v>455</v>
      </c>
      <c r="J120" s="302"/>
    </row>
    <row r="121" spans="1:10" s="301" customFormat="1">
      <c r="A121" s="415"/>
      <c r="B121" s="415"/>
      <c r="C121" s="18">
        <v>2215</v>
      </c>
      <c r="D121" s="226"/>
      <c r="E121" s="183">
        <v>3</v>
      </c>
      <c r="F121" s="183">
        <v>3</v>
      </c>
      <c r="G121" s="11" t="s">
        <v>471</v>
      </c>
      <c r="J121" s="302"/>
    </row>
    <row r="122" spans="1:10">
      <c r="A122" s="416">
        <v>4</v>
      </c>
      <c r="B122" s="416"/>
      <c r="C122" s="18">
        <v>2222</v>
      </c>
      <c r="D122" s="226"/>
      <c r="E122" s="226">
        <v>3</v>
      </c>
      <c r="F122" s="226">
        <v>3</v>
      </c>
      <c r="G122" s="11" t="s">
        <v>392</v>
      </c>
      <c r="H122" s="298"/>
      <c r="I122" s="298"/>
      <c r="J122" s="299"/>
    </row>
    <row r="123" spans="1:10">
      <c r="A123" s="409" t="s">
        <v>439</v>
      </c>
      <c r="B123" s="409"/>
      <c r="C123" s="409"/>
      <c r="D123" s="409"/>
      <c r="E123" s="352">
        <f>SUM(E117:E122)</f>
        <v>53.6</v>
      </c>
      <c r="F123" s="352">
        <f>SUM(F117:F122)</f>
        <v>53.6</v>
      </c>
      <c r="G123" s="11"/>
      <c r="H123" s="298"/>
      <c r="I123" s="298"/>
      <c r="J123" s="299"/>
    </row>
    <row r="124" spans="1:10" ht="26.45" customHeight="1">
      <c r="A124" s="414">
        <v>6</v>
      </c>
      <c r="B124" s="414" t="s">
        <v>431</v>
      </c>
      <c r="C124" s="18">
        <v>2215</v>
      </c>
      <c r="D124" s="226"/>
      <c r="E124" s="226">
        <v>7.1</v>
      </c>
      <c r="F124" s="226">
        <v>7.1</v>
      </c>
      <c r="G124" s="11" t="s">
        <v>433</v>
      </c>
      <c r="H124" s="298"/>
      <c r="I124" s="298"/>
      <c r="J124" s="299"/>
    </row>
    <row r="125" spans="1:10">
      <c r="A125" s="415"/>
      <c r="B125" s="415"/>
      <c r="C125" s="18">
        <v>2215</v>
      </c>
      <c r="D125" s="226"/>
      <c r="E125" s="183">
        <v>1.1000000000000001</v>
      </c>
      <c r="F125" s="183">
        <v>1.1000000000000001</v>
      </c>
      <c r="G125" s="11" t="s">
        <v>455</v>
      </c>
      <c r="H125" s="298"/>
      <c r="I125" s="298"/>
      <c r="J125" s="299"/>
    </row>
    <row r="126" spans="1:10">
      <c r="A126" s="416"/>
      <c r="B126" s="416"/>
      <c r="C126" s="18">
        <v>2215</v>
      </c>
      <c r="D126" s="226"/>
      <c r="E126" s="183">
        <v>3</v>
      </c>
      <c r="F126" s="183">
        <v>3</v>
      </c>
      <c r="G126" s="11" t="s">
        <v>471</v>
      </c>
      <c r="H126" s="298"/>
      <c r="I126" s="298"/>
      <c r="J126" s="299"/>
    </row>
    <row r="127" spans="1:10">
      <c r="A127" s="409" t="s">
        <v>439</v>
      </c>
      <c r="B127" s="409"/>
      <c r="C127" s="409"/>
      <c r="D127" s="409"/>
      <c r="E127" s="352">
        <f>SUM(E124:E126)</f>
        <v>11.2</v>
      </c>
      <c r="F127" s="352">
        <f>SUM(F124:F126)</f>
        <v>11.2</v>
      </c>
      <c r="G127" s="11"/>
      <c r="H127" s="298"/>
      <c r="I127" s="298"/>
      <c r="J127" s="299"/>
    </row>
    <row r="128" spans="1:10">
      <c r="A128" s="378">
        <v>7</v>
      </c>
      <c r="B128" s="414" t="s">
        <v>11</v>
      </c>
      <c r="C128" s="18">
        <v>2215</v>
      </c>
      <c r="D128" s="226"/>
      <c r="E128" s="183">
        <v>1.1000000000000001</v>
      </c>
      <c r="F128" s="183">
        <v>1.1000000000000001</v>
      </c>
      <c r="G128" s="11" t="s">
        <v>455</v>
      </c>
      <c r="H128" s="298"/>
      <c r="I128" s="298"/>
      <c r="J128" s="299"/>
    </row>
    <row r="129" spans="1:10">
      <c r="A129" s="378"/>
      <c r="B129" s="415"/>
      <c r="C129" s="18">
        <v>2215</v>
      </c>
      <c r="D129" s="226"/>
      <c r="E129" s="183">
        <v>3</v>
      </c>
      <c r="F129" s="183">
        <v>3</v>
      </c>
      <c r="G129" s="11" t="s">
        <v>471</v>
      </c>
      <c r="H129" s="298"/>
      <c r="I129" s="298"/>
      <c r="J129" s="299"/>
    </row>
    <row r="130" spans="1:10">
      <c r="A130" s="378"/>
      <c r="B130" s="415"/>
      <c r="C130" s="255">
        <v>2215</v>
      </c>
      <c r="D130" s="350"/>
      <c r="E130" s="350">
        <v>380.5</v>
      </c>
      <c r="F130" s="350">
        <v>380.5</v>
      </c>
      <c r="G130" s="300" t="s">
        <v>430</v>
      </c>
      <c r="H130" s="298"/>
      <c r="I130" s="298"/>
      <c r="J130" s="299"/>
    </row>
    <row r="131" spans="1:10" ht="25.5">
      <c r="A131" s="378"/>
      <c r="B131" s="415"/>
      <c r="C131" s="18">
        <v>3111</v>
      </c>
      <c r="D131" s="226"/>
      <c r="E131" s="225">
        <v>1879.9</v>
      </c>
      <c r="F131" s="225">
        <v>1879.9</v>
      </c>
      <c r="G131" s="11" t="s">
        <v>426</v>
      </c>
      <c r="H131" s="298"/>
      <c r="I131" s="298"/>
      <c r="J131" s="299"/>
    </row>
    <row r="132" spans="1:10" ht="38.25">
      <c r="A132" s="378"/>
      <c r="B132" s="415"/>
      <c r="C132" s="18">
        <v>3111</v>
      </c>
      <c r="D132" s="226"/>
      <c r="E132" s="225">
        <v>4578.5</v>
      </c>
      <c r="F132" s="225">
        <v>4578.5</v>
      </c>
      <c r="G132" s="11" t="s">
        <v>427</v>
      </c>
      <c r="H132" s="298"/>
      <c r="I132" s="298"/>
      <c r="J132" s="299"/>
    </row>
    <row r="133" spans="1:10" ht="25.5">
      <c r="A133" s="378"/>
      <c r="B133" s="415"/>
      <c r="C133" s="18">
        <v>3111</v>
      </c>
      <c r="D133" s="226"/>
      <c r="E133" s="225">
        <v>142.19999999999999</v>
      </c>
      <c r="F133" s="225">
        <v>142.19999999999999</v>
      </c>
      <c r="G133" s="11" t="s">
        <v>428</v>
      </c>
      <c r="H133" s="298"/>
      <c r="I133" s="298"/>
      <c r="J133" s="299"/>
    </row>
    <row r="134" spans="1:10" ht="40.15" customHeight="1">
      <c r="A134" s="378"/>
      <c r="B134" s="415"/>
      <c r="C134" s="18">
        <v>3111</v>
      </c>
      <c r="D134" s="226"/>
      <c r="E134" s="225">
        <v>1716.9</v>
      </c>
      <c r="F134" s="225">
        <v>1716.9</v>
      </c>
      <c r="G134" s="11" t="s">
        <v>429</v>
      </c>
      <c r="H134" s="298"/>
      <c r="I134" s="298"/>
      <c r="J134" s="299"/>
    </row>
    <row r="135" spans="1:10">
      <c r="A135" s="378"/>
      <c r="B135" s="415"/>
      <c r="C135" s="18">
        <v>3111</v>
      </c>
      <c r="D135" s="226"/>
      <c r="E135" s="225"/>
      <c r="F135" s="225">
        <v>1290</v>
      </c>
      <c r="G135" s="11" t="s">
        <v>487</v>
      </c>
      <c r="H135" s="298"/>
      <c r="I135" s="298"/>
      <c r="J135" s="299"/>
    </row>
    <row r="136" spans="1:10">
      <c r="A136" s="378"/>
      <c r="B136" s="415"/>
      <c r="C136" s="18">
        <v>2215</v>
      </c>
      <c r="D136" s="226"/>
      <c r="E136" s="225"/>
      <c r="F136" s="225">
        <f>484+275+65-100</f>
        <v>724</v>
      </c>
      <c r="G136" s="11" t="s">
        <v>475</v>
      </c>
      <c r="H136" s="298"/>
      <c r="I136" s="298"/>
      <c r="J136" s="299"/>
    </row>
    <row r="137" spans="1:10">
      <c r="A137" s="378"/>
      <c r="B137" s="416"/>
      <c r="C137" s="18">
        <v>2215</v>
      </c>
      <c r="D137" s="226"/>
      <c r="E137" s="225">
        <v>2500</v>
      </c>
      <c r="F137" s="225">
        <v>2500</v>
      </c>
      <c r="G137" s="11" t="s">
        <v>475</v>
      </c>
      <c r="H137" s="298"/>
      <c r="I137" s="298"/>
      <c r="J137" s="299"/>
    </row>
    <row r="138" spans="1:10">
      <c r="A138" s="406" t="s">
        <v>439</v>
      </c>
      <c r="B138" s="407"/>
      <c r="C138" s="407"/>
      <c r="D138" s="408"/>
      <c r="E138" s="354">
        <f>SUM(E128:E137)</f>
        <v>11202.1</v>
      </c>
      <c r="F138" s="354">
        <f>SUM(F128:F137)</f>
        <v>13216.1</v>
      </c>
      <c r="G138" s="11"/>
      <c r="H138" s="303"/>
      <c r="I138" s="298"/>
      <c r="J138" s="299"/>
    </row>
    <row r="139" spans="1:10" ht="12.6" customHeight="1">
      <c r="A139" s="378">
        <v>8</v>
      </c>
      <c r="B139" s="378" t="s">
        <v>314</v>
      </c>
      <c r="C139" s="18">
        <v>2111</v>
      </c>
      <c r="D139" s="226"/>
      <c r="E139" s="226">
        <v>632.9</v>
      </c>
      <c r="F139" s="226">
        <v>632.9</v>
      </c>
      <c r="G139" s="413" t="s">
        <v>343</v>
      </c>
      <c r="H139" s="298"/>
      <c r="I139" s="298"/>
      <c r="J139" s="299"/>
    </row>
    <row r="140" spans="1:10">
      <c r="A140" s="378"/>
      <c r="B140" s="378"/>
      <c r="C140" s="18">
        <v>2121</v>
      </c>
      <c r="D140" s="226"/>
      <c r="E140" s="226">
        <v>89.8</v>
      </c>
      <c r="F140" s="226">
        <v>89.8</v>
      </c>
      <c r="G140" s="413"/>
      <c r="H140" s="298"/>
      <c r="I140" s="298"/>
      <c r="J140" s="299"/>
    </row>
    <row r="141" spans="1:10">
      <c r="A141" s="378"/>
      <c r="B141" s="378"/>
      <c r="C141" s="18">
        <v>2111</v>
      </c>
      <c r="D141" s="226"/>
      <c r="E141" s="225">
        <v>1345.8</v>
      </c>
      <c r="F141" s="225">
        <v>1345.8</v>
      </c>
      <c r="G141" s="413" t="s">
        <v>358</v>
      </c>
      <c r="H141" s="298"/>
      <c r="I141" s="298"/>
      <c r="J141" s="299"/>
    </row>
    <row r="142" spans="1:10">
      <c r="A142" s="378"/>
      <c r="B142" s="378"/>
      <c r="C142" s="18">
        <v>2121</v>
      </c>
      <c r="D142" s="226"/>
      <c r="E142" s="225">
        <v>232.1</v>
      </c>
      <c r="F142" s="225">
        <v>232.1</v>
      </c>
      <c r="G142" s="413"/>
      <c r="H142" s="298"/>
      <c r="I142" s="298"/>
      <c r="J142" s="299"/>
    </row>
    <row r="143" spans="1:10">
      <c r="A143" s="378"/>
      <c r="B143" s="378"/>
      <c r="C143" s="18">
        <v>2214</v>
      </c>
      <c r="D143" s="226"/>
      <c r="E143" s="225">
        <v>1572</v>
      </c>
      <c r="F143" s="225">
        <v>1572</v>
      </c>
      <c r="G143" s="11" t="s">
        <v>386</v>
      </c>
      <c r="H143" s="298"/>
      <c r="I143" s="298"/>
      <c r="J143" s="299"/>
    </row>
    <row r="144" spans="1:10" ht="25.5">
      <c r="A144" s="378"/>
      <c r="B144" s="378"/>
      <c r="C144" s="18">
        <v>2214</v>
      </c>
      <c r="D144" s="226"/>
      <c r="E144" s="225">
        <v>344.6</v>
      </c>
      <c r="F144" s="225">
        <v>344.6</v>
      </c>
      <c r="G144" s="11" t="s">
        <v>387</v>
      </c>
      <c r="H144" s="298"/>
      <c r="I144" s="298"/>
      <c r="J144" s="299"/>
    </row>
    <row r="145" spans="1:10">
      <c r="A145" s="378"/>
      <c r="B145" s="378"/>
      <c r="C145" s="18">
        <v>2215</v>
      </c>
      <c r="D145" s="226"/>
      <c r="E145" s="183">
        <v>1.1000000000000001</v>
      </c>
      <c r="F145" s="183">
        <v>1.1000000000000001</v>
      </c>
      <c r="G145" s="11" t="s">
        <v>455</v>
      </c>
      <c r="H145" s="298"/>
      <c r="I145" s="298"/>
      <c r="J145" s="299"/>
    </row>
    <row r="146" spans="1:10">
      <c r="A146" s="378"/>
      <c r="B146" s="378"/>
      <c r="C146" s="18">
        <v>2215</v>
      </c>
      <c r="D146" s="226"/>
      <c r="E146" s="183">
        <v>3</v>
      </c>
      <c r="F146" s="183">
        <v>3</v>
      </c>
      <c r="G146" s="11" t="s">
        <v>471</v>
      </c>
      <c r="H146" s="298"/>
      <c r="I146" s="298"/>
      <c r="J146" s="299"/>
    </row>
    <row r="147" spans="1:10">
      <c r="A147" s="378"/>
      <c r="B147" s="378"/>
      <c r="C147" s="18">
        <v>2215</v>
      </c>
      <c r="D147" s="226"/>
      <c r="E147" s="225">
        <v>1000</v>
      </c>
      <c r="F147" s="225">
        <f>1000+600</f>
        <v>1600</v>
      </c>
      <c r="G147" s="11" t="s">
        <v>388</v>
      </c>
      <c r="H147" s="298"/>
      <c r="I147" s="298"/>
      <c r="J147" s="299"/>
    </row>
    <row r="148" spans="1:10">
      <c r="A148" s="378"/>
      <c r="B148" s="378"/>
      <c r="C148" s="18">
        <v>2222</v>
      </c>
      <c r="D148" s="226"/>
      <c r="E148" s="225">
        <v>3300</v>
      </c>
      <c r="F148" s="225">
        <v>3300</v>
      </c>
      <c r="G148" s="11" t="s">
        <v>476</v>
      </c>
      <c r="H148" s="298"/>
      <c r="I148" s="298"/>
      <c r="J148" s="299"/>
    </row>
    <row r="149" spans="1:10">
      <c r="A149" s="378"/>
      <c r="B149" s="378"/>
      <c r="C149" s="18">
        <v>2224</v>
      </c>
      <c r="D149" s="226"/>
      <c r="E149" s="225">
        <v>1500</v>
      </c>
      <c r="F149" s="225">
        <f>1500-300</f>
        <v>1200</v>
      </c>
      <c r="G149" s="11" t="s">
        <v>443</v>
      </c>
      <c r="H149" s="298"/>
      <c r="I149" s="298"/>
      <c r="J149" s="299"/>
    </row>
    <row r="150" spans="1:10">
      <c r="A150" s="378"/>
      <c r="B150" s="378"/>
      <c r="C150" s="18">
        <v>3122</v>
      </c>
      <c r="D150" s="226"/>
      <c r="E150" s="225">
        <f>14250-1738.2-500</f>
        <v>12011.8</v>
      </c>
      <c r="F150" s="225">
        <f>14250-1738.2-500-300</f>
        <v>11711.8</v>
      </c>
      <c r="G150" s="11" t="s">
        <v>442</v>
      </c>
      <c r="H150" s="298"/>
      <c r="I150" s="298"/>
      <c r="J150" s="299"/>
    </row>
    <row r="151" spans="1:10">
      <c r="A151" s="378"/>
      <c r="B151" s="378"/>
      <c r="C151" s="18">
        <v>2214</v>
      </c>
      <c r="D151" s="226"/>
      <c r="E151" s="225">
        <v>393</v>
      </c>
      <c r="F151" s="225">
        <v>393</v>
      </c>
      <c r="G151" s="11" t="s">
        <v>441</v>
      </c>
      <c r="H151" s="298"/>
      <c r="I151" s="298"/>
      <c r="J151" s="299"/>
    </row>
    <row r="152" spans="1:10">
      <c r="A152" s="378"/>
      <c r="B152" s="378"/>
      <c r="C152" s="18">
        <v>2222</v>
      </c>
      <c r="D152" s="226"/>
      <c r="E152" s="225">
        <v>200</v>
      </c>
      <c r="F152" s="225">
        <v>200</v>
      </c>
      <c r="G152" s="11" t="s">
        <v>440</v>
      </c>
      <c r="H152" s="298"/>
      <c r="I152" s="298"/>
      <c r="J152" s="299"/>
    </row>
    <row r="153" spans="1:10">
      <c r="A153" s="406" t="s">
        <v>439</v>
      </c>
      <c r="B153" s="407"/>
      <c r="C153" s="407"/>
      <c r="D153" s="408"/>
      <c r="E153" s="354">
        <f>SUM(E139:E152)</f>
        <v>22626.1</v>
      </c>
      <c r="F153" s="354">
        <f>SUM(F139:F152)</f>
        <v>22626.1</v>
      </c>
      <c r="G153" s="338"/>
      <c r="H153" s="298"/>
      <c r="I153" s="298"/>
      <c r="J153" s="299"/>
    </row>
    <row r="154" spans="1:10">
      <c r="A154" s="378">
        <v>9</v>
      </c>
      <c r="B154" s="378" t="s">
        <v>12</v>
      </c>
      <c r="C154" s="340">
        <v>2111</v>
      </c>
      <c r="D154" s="226"/>
      <c r="E154" s="341">
        <v>1200</v>
      </c>
      <c r="F154" s="341">
        <v>1200</v>
      </c>
      <c r="G154" s="379" t="s">
        <v>375</v>
      </c>
    </row>
    <row r="155" spans="1:10">
      <c r="A155" s="378"/>
      <c r="B155" s="378"/>
      <c r="C155" s="340">
        <v>2121</v>
      </c>
      <c r="D155" s="226"/>
      <c r="E155" s="341">
        <v>220</v>
      </c>
      <c r="F155" s="341">
        <v>220</v>
      </c>
      <c r="G155" s="380"/>
    </row>
    <row r="156" spans="1:10">
      <c r="A156" s="378"/>
      <c r="B156" s="378"/>
      <c r="C156" s="340">
        <v>2111</v>
      </c>
      <c r="D156" s="226"/>
      <c r="E156" s="341">
        <v>759</v>
      </c>
      <c r="F156" s="341">
        <v>759</v>
      </c>
      <c r="G156" s="379" t="s">
        <v>343</v>
      </c>
    </row>
    <row r="157" spans="1:10">
      <c r="A157" s="378"/>
      <c r="B157" s="378"/>
      <c r="C157" s="340">
        <v>2121</v>
      </c>
      <c r="D157" s="226"/>
      <c r="E157" s="341">
        <v>130.30000000000001</v>
      </c>
      <c r="F157" s="341">
        <v>130.30000000000001</v>
      </c>
      <c r="G157" s="380"/>
    </row>
    <row r="158" spans="1:10">
      <c r="A158" s="378"/>
      <c r="B158" s="378"/>
      <c r="C158" s="340">
        <v>2221</v>
      </c>
      <c r="D158" s="226"/>
      <c r="E158" s="341">
        <v>690</v>
      </c>
      <c r="F158" s="341">
        <v>690</v>
      </c>
      <c r="G158" s="342" t="s">
        <v>423</v>
      </c>
    </row>
    <row r="159" spans="1:10">
      <c r="A159" s="378"/>
      <c r="B159" s="378"/>
      <c r="C159" s="18">
        <v>2215</v>
      </c>
      <c r="D159" s="226"/>
      <c r="E159" s="183">
        <v>1.1000000000000001</v>
      </c>
      <c r="F159" s="183">
        <v>1.1000000000000001</v>
      </c>
      <c r="G159" s="11" t="s">
        <v>455</v>
      </c>
    </row>
    <row r="160" spans="1:10">
      <c r="A160" s="378"/>
      <c r="B160" s="378"/>
      <c r="C160" s="18">
        <v>2215</v>
      </c>
      <c r="D160" s="226"/>
      <c r="E160" s="183">
        <v>3</v>
      </c>
      <c r="F160" s="183">
        <v>3</v>
      </c>
      <c r="G160" s="11" t="s">
        <v>471</v>
      </c>
    </row>
    <row r="161" spans="1:8">
      <c r="A161" s="378"/>
      <c r="B161" s="378"/>
      <c r="C161" s="340">
        <v>2222</v>
      </c>
      <c r="D161" s="226"/>
      <c r="E161" s="341">
        <v>1000</v>
      </c>
      <c r="F161" s="341">
        <v>1000</v>
      </c>
      <c r="G161" s="342" t="s">
        <v>436</v>
      </c>
    </row>
    <row r="162" spans="1:8">
      <c r="A162" s="378"/>
      <c r="B162" s="378"/>
      <c r="C162" s="340">
        <v>2222</v>
      </c>
      <c r="D162" s="226"/>
      <c r="E162" s="341">
        <v>400</v>
      </c>
      <c r="F162" s="341">
        <v>400</v>
      </c>
      <c r="G162" s="342" t="s">
        <v>437</v>
      </c>
    </row>
    <row r="163" spans="1:8">
      <c r="A163" s="378"/>
      <c r="B163" s="378"/>
      <c r="C163" s="340">
        <v>2222</v>
      </c>
      <c r="D163" s="226"/>
      <c r="E163" s="341">
        <v>485</v>
      </c>
      <c r="F163" s="341">
        <v>485</v>
      </c>
      <c r="G163" s="342" t="s">
        <v>438</v>
      </c>
    </row>
    <row r="164" spans="1:8">
      <c r="A164" s="378"/>
      <c r="B164" s="378"/>
      <c r="C164" s="340">
        <v>2222</v>
      </c>
      <c r="D164" s="226"/>
      <c r="E164" s="341"/>
      <c r="F164" s="341">
        <v>145</v>
      </c>
      <c r="G164" s="342" t="s">
        <v>489</v>
      </c>
    </row>
    <row r="165" spans="1:8">
      <c r="A165" s="378"/>
      <c r="B165" s="378"/>
      <c r="C165" s="340">
        <v>3112</v>
      </c>
      <c r="D165" s="226"/>
      <c r="E165" s="341"/>
      <c r="F165" s="341">
        <v>100</v>
      </c>
      <c r="G165" s="342" t="s">
        <v>505</v>
      </c>
    </row>
    <row r="166" spans="1:8">
      <c r="A166" s="378"/>
      <c r="B166" s="378"/>
      <c r="C166" s="340">
        <v>3112</v>
      </c>
      <c r="D166" s="226"/>
      <c r="E166" s="341">
        <v>1394</v>
      </c>
      <c r="F166" s="341">
        <v>1394</v>
      </c>
      <c r="G166" s="342" t="s">
        <v>424</v>
      </c>
    </row>
    <row r="167" spans="1:8">
      <c r="A167" s="406" t="s">
        <v>439</v>
      </c>
      <c r="B167" s="407"/>
      <c r="C167" s="407"/>
      <c r="D167" s="408"/>
      <c r="E167" s="355">
        <f>SUM(E154:E166)</f>
        <v>6282.4</v>
      </c>
      <c r="F167" s="355">
        <f>SUM(F154:F166)</f>
        <v>6527.4</v>
      </c>
      <c r="G167" s="356"/>
      <c r="H167" s="303"/>
    </row>
    <row r="168" spans="1:8" ht="25.5">
      <c r="A168" s="378">
        <v>10</v>
      </c>
      <c r="B168" s="378" t="s">
        <v>240</v>
      </c>
      <c r="C168" s="284">
        <v>2121</v>
      </c>
      <c r="D168" s="226"/>
      <c r="E168" s="104">
        <v>300</v>
      </c>
      <c r="F168" s="104">
        <v>300</v>
      </c>
      <c r="G168" s="300" t="s">
        <v>373</v>
      </c>
      <c r="H168" s="298"/>
    </row>
    <row r="169" spans="1:8">
      <c r="A169" s="378"/>
      <c r="B169" s="378"/>
      <c r="C169" s="284">
        <v>2211</v>
      </c>
      <c r="D169" s="226"/>
      <c r="E169" s="104">
        <v>20.2</v>
      </c>
      <c r="F169" s="104">
        <v>20.2</v>
      </c>
      <c r="G169" s="300" t="s">
        <v>459</v>
      </c>
      <c r="H169" s="298"/>
    </row>
    <row r="170" spans="1:8" ht="51">
      <c r="A170" s="378"/>
      <c r="B170" s="378"/>
      <c r="C170" s="284">
        <v>2214</v>
      </c>
      <c r="D170" s="226"/>
      <c r="E170" s="104">
        <v>15.4</v>
      </c>
      <c r="F170" s="104">
        <v>15.4</v>
      </c>
      <c r="G170" s="300" t="s">
        <v>374</v>
      </c>
      <c r="H170" s="298"/>
    </row>
    <row r="171" spans="1:8" ht="15">
      <c r="A171" s="378"/>
      <c r="B171" s="378"/>
      <c r="C171" s="284">
        <v>2215</v>
      </c>
      <c r="D171" s="226"/>
      <c r="E171" s="104">
        <v>7.6</v>
      </c>
      <c r="F171" s="104">
        <v>7.6</v>
      </c>
      <c r="G171" s="357" t="s">
        <v>369</v>
      </c>
      <c r="H171" s="298"/>
    </row>
    <row r="172" spans="1:8" ht="30">
      <c r="A172" s="378"/>
      <c r="B172" s="378"/>
      <c r="C172" s="284">
        <v>2215</v>
      </c>
      <c r="D172" s="226"/>
      <c r="E172" s="104">
        <v>1000</v>
      </c>
      <c r="F172" s="104">
        <v>1000</v>
      </c>
      <c r="G172" s="357" t="s">
        <v>383</v>
      </c>
      <c r="H172" s="298"/>
    </row>
    <row r="173" spans="1:8" ht="25.5">
      <c r="A173" s="378"/>
      <c r="B173" s="378"/>
      <c r="C173" s="284">
        <v>2215</v>
      </c>
      <c r="D173" s="226"/>
      <c r="E173" s="104">
        <v>1000</v>
      </c>
      <c r="F173" s="104">
        <v>1000</v>
      </c>
      <c r="G173" s="300" t="s">
        <v>384</v>
      </c>
      <c r="H173" s="298"/>
    </row>
    <row r="174" spans="1:8" ht="54">
      <c r="A174" s="378"/>
      <c r="B174" s="378"/>
      <c r="C174" s="284">
        <v>2215</v>
      </c>
      <c r="D174" s="226"/>
      <c r="E174" s="104">
        <v>343.4</v>
      </c>
      <c r="F174" s="104">
        <v>343.4</v>
      </c>
      <c r="G174" s="300" t="s">
        <v>370</v>
      </c>
      <c r="H174" s="298"/>
    </row>
    <row r="175" spans="1:8" ht="25.5">
      <c r="A175" s="378"/>
      <c r="B175" s="378"/>
      <c r="C175" s="284">
        <v>2215</v>
      </c>
      <c r="D175" s="226"/>
      <c r="E175" s="104">
        <v>1963.2</v>
      </c>
      <c r="F175" s="104">
        <v>1963.2</v>
      </c>
      <c r="G175" s="300" t="s">
        <v>371</v>
      </c>
      <c r="H175" s="298"/>
    </row>
    <row r="176" spans="1:8">
      <c r="A176" s="378"/>
      <c r="B176" s="378"/>
      <c r="C176" s="18">
        <v>2215</v>
      </c>
      <c r="D176" s="226"/>
      <c r="E176" s="183">
        <v>1.1000000000000001</v>
      </c>
      <c r="F176" s="183">
        <v>1.1000000000000001</v>
      </c>
      <c r="G176" s="11" t="s">
        <v>455</v>
      </c>
      <c r="H176" s="298"/>
    </row>
    <row r="177" spans="1:8">
      <c r="A177" s="378"/>
      <c r="B177" s="378"/>
      <c r="C177" s="18">
        <v>2215</v>
      </c>
      <c r="D177" s="226"/>
      <c r="E177" s="183">
        <v>4</v>
      </c>
      <c r="F177" s="183">
        <v>4</v>
      </c>
      <c r="G177" s="11" t="s">
        <v>471</v>
      </c>
      <c r="H177" s="298"/>
    </row>
    <row r="178" spans="1:8" ht="25.5">
      <c r="A178" s="378"/>
      <c r="B178" s="378"/>
      <c r="C178" s="284">
        <v>2222</v>
      </c>
      <c r="D178" s="226"/>
      <c r="E178" s="358">
        <v>18</v>
      </c>
      <c r="F178" s="358">
        <v>18</v>
      </c>
      <c r="G178" s="300" t="s">
        <v>372</v>
      </c>
      <c r="H178" s="298"/>
    </row>
    <row r="179" spans="1:8" ht="25.5">
      <c r="A179" s="378"/>
      <c r="B179" s="378"/>
      <c r="C179" s="284">
        <v>3141</v>
      </c>
      <c r="D179" s="226"/>
      <c r="E179" s="358">
        <v>2240.4</v>
      </c>
      <c r="F179" s="358">
        <v>2240.4</v>
      </c>
      <c r="G179" s="300" t="s">
        <v>385</v>
      </c>
      <c r="H179" s="298"/>
    </row>
    <row r="180" spans="1:8">
      <c r="A180" s="406" t="s">
        <v>439</v>
      </c>
      <c r="B180" s="407"/>
      <c r="C180" s="407"/>
      <c r="D180" s="408"/>
      <c r="E180" s="359">
        <f>SUM(E168:E179)</f>
        <v>6913.3000000000011</v>
      </c>
      <c r="F180" s="359">
        <f>SUM(F168:F179)</f>
        <v>6913.3000000000011</v>
      </c>
      <c r="G180" s="300"/>
      <c r="H180" s="298"/>
    </row>
    <row r="181" spans="1:8">
      <c r="A181" s="411">
        <v>11</v>
      </c>
      <c r="B181" s="410" t="s">
        <v>228</v>
      </c>
      <c r="C181" s="18">
        <v>2215</v>
      </c>
      <c r="D181" s="226"/>
      <c r="E181" s="183">
        <v>10</v>
      </c>
      <c r="F181" s="183">
        <v>10</v>
      </c>
      <c r="G181" s="11" t="s">
        <v>462</v>
      </c>
    </row>
    <row r="182" spans="1:8">
      <c r="A182" s="412"/>
      <c r="B182" s="410"/>
      <c r="C182" s="18">
        <v>2225</v>
      </c>
      <c r="D182" s="226"/>
      <c r="E182" s="183">
        <v>973.5</v>
      </c>
      <c r="F182" s="183">
        <v>973.5</v>
      </c>
      <c r="G182" s="11" t="s">
        <v>463</v>
      </c>
    </row>
    <row r="183" spans="1:8" ht="25.5">
      <c r="A183" s="412"/>
      <c r="B183" s="410"/>
      <c r="C183" s="18">
        <v>22311100</v>
      </c>
      <c r="D183" s="226"/>
      <c r="E183" s="183">
        <v>80</v>
      </c>
      <c r="F183" s="183">
        <v>80</v>
      </c>
      <c r="G183" s="11" t="s">
        <v>470</v>
      </c>
    </row>
    <row r="184" spans="1:8" ht="25.5">
      <c r="A184" s="412"/>
      <c r="B184" s="410"/>
      <c r="C184" s="18">
        <v>22311200</v>
      </c>
      <c r="D184" s="226"/>
      <c r="E184" s="183">
        <v>2000</v>
      </c>
      <c r="F184" s="183">
        <v>2000</v>
      </c>
      <c r="G184" s="11" t="s">
        <v>469</v>
      </c>
    </row>
    <row r="185" spans="1:8">
      <c r="A185" s="412"/>
      <c r="B185" s="410"/>
      <c r="C185" s="18">
        <v>3112</v>
      </c>
      <c r="D185" s="226"/>
      <c r="E185" s="183"/>
      <c r="F185" s="183">
        <v>220</v>
      </c>
      <c r="G185" s="11" t="s">
        <v>324</v>
      </c>
    </row>
    <row r="186" spans="1:8">
      <c r="A186" s="412"/>
      <c r="B186" s="410"/>
      <c r="C186" s="18">
        <v>3112</v>
      </c>
      <c r="D186" s="226"/>
      <c r="E186" s="183"/>
      <c r="F186" s="183">
        <v>42</v>
      </c>
      <c r="G186" s="11" t="s">
        <v>500</v>
      </c>
    </row>
    <row r="187" spans="1:8" ht="38.25">
      <c r="A187" s="412"/>
      <c r="B187" s="410"/>
      <c r="C187" s="284">
        <v>2215</v>
      </c>
      <c r="D187" s="226"/>
      <c r="E187" s="320">
        <v>195</v>
      </c>
      <c r="F187" s="320">
        <v>195</v>
      </c>
      <c r="G187" s="11" t="s">
        <v>447</v>
      </c>
    </row>
    <row r="188" spans="1:8">
      <c r="A188" s="406" t="s">
        <v>439</v>
      </c>
      <c r="B188" s="407"/>
      <c r="C188" s="407"/>
      <c r="D188" s="408"/>
      <c r="E188" s="359">
        <f>SUM(E181:E187)</f>
        <v>3258.5</v>
      </c>
      <c r="F188" s="359">
        <f>SUM(F181:F187)</f>
        <v>3520.5</v>
      </c>
      <c r="G188" s="338"/>
      <c r="H188" s="303"/>
    </row>
    <row r="189" spans="1:8" ht="13.15" customHeight="1">
      <c r="A189" s="410">
        <v>12</v>
      </c>
      <c r="B189" s="410" t="s">
        <v>295</v>
      </c>
      <c r="C189" s="284">
        <v>2111</v>
      </c>
      <c r="D189" s="226"/>
      <c r="E189" s="320">
        <v>968.8</v>
      </c>
      <c r="F189" s="320">
        <v>968.8</v>
      </c>
      <c r="G189" s="379" t="s">
        <v>343</v>
      </c>
    </row>
    <row r="190" spans="1:8" ht="13.15" customHeight="1">
      <c r="A190" s="410"/>
      <c r="B190" s="410"/>
      <c r="C190" s="284">
        <v>2121</v>
      </c>
      <c r="D190" s="226"/>
      <c r="E190" s="320">
        <v>137.5</v>
      </c>
      <c r="F190" s="320">
        <v>137.5</v>
      </c>
      <c r="G190" s="380"/>
    </row>
    <row r="191" spans="1:8" ht="13.15" customHeight="1">
      <c r="A191" s="410"/>
      <c r="B191" s="410"/>
      <c r="C191" s="284">
        <v>2111</v>
      </c>
      <c r="D191" s="226"/>
      <c r="E191" s="320">
        <v>602.4</v>
      </c>
      <c r="F191" s="320">
        <v>602.4</v>
      </c>
      <c r="G191" s="379" t="s">
        <v>375</v>
      </c>
    </row>
    <row r="192" spans="1:8">
      <c r="A192" s="410"/>
      <c r="B192" s="410"/>
      <c r="C192" s="284">
        <v>2121</v>
      </c>
      <c r="D192" s="226"/>
      <c r="E192" s="320">
        <f>+E191*0.1725</f>
        <v>103.91399999999999</v>
      </c>
      <c r="F192" s="320">
        <f>+F191*0.1725</f>
        <v>103.91399999999999</v>
      </c>
      <c r="G192" s="380"/>
    </row>
    <row r="193" spans="1:7">
      <c r="A193" s="406" t="s">
        <v>439</v>
      </c>
      <c r="B193" s="407"/>
      <c r="C193" s="407"/>
      <c r="D193" s="408"/>
      <c r="E193" s="360">
        <f>SUM(E189:E192)</f>
        <v>1812.6139999999998</v>
      </c>
      <c r="F193" s="360">
        <f>SUM(F189:F192)</f>
        <v>1812.6139999999998</v>
      </c>
      <c r="G193" s="337"/>
    </row>
    <row r="194" spans="1:7">
      <c r="A194" s="410">
        <v>13</v>
      </c>
      <c r="B194" s="410" t="s">
        <v>13</v>
      </c>
      <c r="C194" s="284">
        <v>2111</v>
      </c>
      <c r="D194" s="226"/>
      <c r="E194" s="320">
        <v>495.5</v>
      </c>
      <c r="F194" s="320">
        <v>495.5</v>
      </c>
      <c r="G194" s="379" t="s">
        <v>357</v>
      </c>
    </row>
    <row r="195" spans="1:7">
      <c r="A195" s="410"/>
      <c r="B195" s="410"/>
      <c r="C195" s="284">
        <v>2121</v>
      </c>
      <c r="D195" s="226"/>
      <c r="E195" s="320">
        <v>85.5</v>
      </c>
      <c r="F195" s="320">
        <v>85.5</v>
      </c>
      <c r="G195" s="380"/>
    </row>
    <row r="196" spans="1:7">
      <c r="A196" s="410"/>
      <c r="B196" s="410"/>
      <c r="C196" s="284">
        <v>2111</v>
      </c>
      <c r="D196" s="226"/>
      <c r="E196" s="320">
        <v>598</v>
      </c>
      <c r="F196" s="320">
        <v>598</v>
      </c>
      <c r="G196" s="379" t="s">
        <v>358</v>
      </c>
    </row>
    <row r="197" spans="1:7">
      <c r="A197" s="410"/>
      <c r="B197" s="410"/>
      <c r="C197" s="284">
        <v>2121</v>
      </c>
      <c r="D197" s="226"/>
      <c r="E197" s="320">
        <v>103.2</v>
      </c>
      <c r="F197" s="320">
        <v>103.2</v>
      </c>
      <c r="G197" s="380"/>
    </row>
    <row r="198" spans="1:7">
      <c r="A198" s="410"/>
      <c r="B198" s="410"/>
      <c r="C198" s="284">
        <v>2111</v>
      </c>
      <c r="D198" s="226"/>
      <c r="E198" s="320">
        <v>939</v>
      </c>
      <c r="F198" s="320">
        <v>939</v>
      </c>
      <c r="G198" s="379" t="s">
        <v>343</v>
      </c>
    </row>
    <row r="199" spans="1:7">
      <c r="A199" s="410"/>
      <c r="B199" s="410"/>
      <c r="C199" s="284">
        <v>2121</v>
      </c>
      <c r="D199" s="226"/>
      <c r="E199" s="320">
        <v>132.6</v>
      </c>
      <c r="F199" s="320">
        <v>132.6</v>
      </c>
      <c r="G199" s="380"/>
    </row>
    <row r="200" spans="1:7">
      <c r="A200" s="410"/>
      <c r="B200" s="410"/>
      <c r="C200" s="284">
        <v>2215</v>
      </c>
      <c r="D200" s="226"/>
      <c r="E200" s="320">
        <v>500</v>
      </c>
      <c r="F200" s="320">
        <v>500</v>
      </c>
      <c r="G200" s="11" t="s">
        <v>359</v>
      </c>
    </row>
    <row r="201" spans="1:7">
      <c r="A201" s="410"/>
      <c r="B201" s="410"/>
      <c r="C201" s="18">
        <v>2215</v>
      </c>
      <c r="D201" s="226"/>
      <c r="E201" s="183">
        <v>1.1000000000000001</v>
      </c>
      <c r="F201" s="183">
        <v>1.1000000000000001</v>
      </c>
      <c r="G201" s="11" t="s">
        <v>455</v>
      </c>
    </row>
    <row r="202" spans="1:7">
      <c r="A202" s="410"/>
      <c r="B202" s="410"/>
      <c r="C202" s="18">
        <v>2215</v>
      </c>
      <c r="D202" s="226"/>
      <c r="E202" s="183">
        <v>3</v>
      </c>
      <c r="F202" s="183">
        <v>3</v>
      </c>
      <c r="G202" s="11" t="s">
        <v>471</v>
      </c>
    </row>
    <row r="203" spans="1:7" ht="25.5">
      <c r="A203" s="410"/>
      <c r="B203" s="410"/>
      <c r="C203" s="284">
        <v>2222</v>
      </c>
      <c r="D203" s="226"/>
      <c r="E203" s="320">
        <v>223.5</v>
      </c>
      <c r="F203" s="320">
        <v>223.5</v>
      </c>
      <c r="G203" s="11" t="s">
        <v>360</v>
      </c>
    </row>
    <row r="204" spans="1:7" ht="25.5">
      <c r="A204" s="410"/>
      <c r="B204" s="410"/>
      <c r="C204" s="284">
        <v>2222</v>
      </c>
      <c r="D204" s="226"/>
      <c r="E204" s="320">
        <v>74.5</v>
      </c>
      <c r="F204" s="320">
        <v>74.5</v>
      </c>
      <c r="G204" s="11" t="s">
        <v>361</v>
      </c>
    </row>
    <row r="205" spans="1:7" ht="25.5">
      <c r="A205" s="410"/>
      <c r="B205" s="410"/>
      <c r="C205" s="284">
        <v>2222</v>
      </c>
      <c r="D205" s="226"/>
      <c r="E205" s="320">
        <v>10.5</v>
      </c>
      <c r="F205" s="320">
        <v>10.5</v>
      </c>
      <c r="G205" s="11" t="s">
        <v>362</v>
      </c>
    </row>
    <row r="206" spans="1:7" ht="25.5">
      <c r="A206" s="410"/>
      <c r="B206" s="410"/>
      <c r="C206" s="284">
        <v>2222</v>
      </c>
      <c r="D206" s="226"/>
      <c r="E206" s="320">
        <v>18.899999999999999</v>
      </c>
      <c r="F206" s="320">
        <v>18.899999999999999</v>
      </c>
      <c r="G206" s="11" t="s">
        <v>363</v>
      </c>
    </row>
    <row r="207" spans="1:7" ht="25.5">
      <c r="A207" s="410"/>
      <c r="B207" s="410"/>
      <c r="C207" s="284">
        <v>2222</v>
      </c>
      <c r="D207" s="226"/>
      <c r="E207" s="320">
        <v>390</v>
      </c>
      <c r="F207" s="320">
        <v>390</v>
      </c>
      <c r="G207" s="11" t="s">
        <v>364</v>
      </c>
    </row>
    <row r="208" spans="1:7">
      <c r="A208" s="410"/>
      <c r="B208" s="410"/>
      <c r="C208" s="284">
        <v>3113</v>
      </c>
      <c r="D208" s="226"/>
      <c r="E208" s="320">
        <v>60</v>
      </c>
      <c r="F208" s="320">
        <v>60</v>
      </c>
      <c r="G208" s="11" t="s">
        <v>365</v>
      </c>
    </row>
    <row r="209" spans="1:8">
      <c r="A209" s="410"/>
      <c r="B209" s="410"/>
      <c r="C209" s="284">
        <v>3113</v>
      </c>
      <c r="D209" s="226"/>
      <c r="E209" s="320">
        <v>460.6</v>
      </c>
      <c r="F209" s="320">
        <v>460.6</v>
      </c>
      <c r="G209" s="11" t="s">
        <v>366</v>
      </c>
    </row>
    <row r="210" spans="1:8" ht="25.5">
      <c r="A210" s="410"/>
      <c r="B210" s="410"/>
      <c r="C210" s="284">
        <v>3113</v>
      </c>
      <c r="D210" s="226"/>
      <c r="E210" s="320">
        <v>4000</v>
      </c>
      <c r="F210" s="320">
        <v>4000</v>
      </c>
      <c r="G210" s="11" t="s">
        <v>367</v>
      </c>
    </row>
    <row r="211" spans="1:8">
      <c r="A211" s="410"/>
      <c r="B211" s="410"/>
      <c r="C211" s="284">
        <v>3113</v>
      </c>
      <c r="D211" s="226"/>
      <c r="E211" s="320">
        <v>2500</v>
      </c>
      <c r="F211" s="320">
        <v>2500</v>
      </c>
      <c r="G211" s="11" t="s">
        <v>368</v>
      </c>
    </row>
    <row r="212" spans="1:8">
      <c r="A212" s="409" t="s">
        <v>439</v>
      </c>
      <c r="B212" s="409"/>
      <c r="C212" s="409"/>
      <c r="D212" s="409"/>
      <c r="E212" s="360">
        <f>SUM(E194:E211)</f>
        <v>10595.9</v>
      </c>
      <c r="F212" s="360">
        <f>SUM(F194:F211)</f>
        <v>10595.9</v>
      </c>
      <c r="G212" s="11"/>
      <c r="H212" s="303"/>
    </row>
    <row r="213" spans="1:8">
      <c r="A213" s="410">
        <v>14</v>
      </c>
      <c r="B213" s="410" t="s">
        <v>164</v>
      </c>
      <c r="C213" s="284">
        <v>2214</v>
      </c>
      <c r="D213" s="226"/>
      <c r="E213" s="320">
        <v>5</v>
      </c>
      <c r="F213" s="320">
        <v>5</v>
      </c>
      <c r="G213" s="11" t="s">
        <v>406</v>
      </c>
    </row>
    <row r="214" spans="1:8">
      <c r="A214" s="410"/>
      <c r="B214" s="410"/>
      <c r="C214" s="18">
        <v>2215</v>
      </c>
      <c r="D214" s="226"/>
      <c r="E214" s="183">
        <v>1.1000000000000001</v>
      </c>
      <c r="F214" s="183">
        <v>1.1000000000000001</v>
      </c>
      <c r="G214" s="11" t="s">
        <v>455</v>
      </c>
    </row>
    <row r="215" spans="1:8">
      <c r="A215" s="410"/>
      <c r="B215" s="410"/>
      <c r="C215" s="18">
        <v>2215</v>
      </c>
      <c r="D215" s="226"/>
      <c r="E215" s="183">
        <v>3</v>
      </c>
      <c r="F215" s="183">
        <v>3</v>
      </c>
      <c r="G215" s="11" t="s">
        <v>471</v>
      </c>
    </row>
    <row r="216" spans="1:8">
      <c r="A216" s="409" t="s">
        <v>439</v>
      </c>
      <c r="B216" s="409"/>
      <c r="C216" s="409"/>
      <c r="D216" s="409"/>
      <c r="E216" s="360">
        <f>SUM(E213:E215)</f>
        <v>9.1</v>
      </c>
      <c r="F216" s="360">
        <f>SUM(F213:F215)</f>
        <v>9.1</v>
      </c>
      <c r="G216" s="338"/>
    </row>
    <row r="217" spans="1:8">
      <c r="A217" s="414">
        <v>15</v>
      </c>
      <c r="B217" s="414" t="s">
        <v>333</v>
      </c>
      <c r="C217" s="284">
        <v>2111</v>
      </c>
      <c r="D217" s="226"/>
      <c r="E217" s="320">
        <v>203.7</v>
      </c>
      <c r="F217" s="320">
        <v>203.7</v>
      </c>
      <c r="G217" s="379" t="s">
        <v>343</v>
      </c>
    </row>
    <row r="218" spans="1:8">
      <c r="A218" s="415"/>
      <c r="B218" s="415"/>
      <c r="C218" s="284">
        <v>2121</v>
      </c>
      <c r="D218" s="226"/>
      <c r="E218" s="320">
        <v>32.200000000000003</v>
      </c>
      <c r="F218" s="320">
        <v>32.200000000000003</v>
      </c>
      <c r="G218" s="380"/>
    </row>
    <row r="219" spans="1:8">
      <c r="A219" s="415"/>
      <c r="B219" s="415"/>
      <c r="C219" s="18">
        <v>2215</v>
      </c>
      <c r="D219" s="226"/>
      <c r="E219" s="183">
        <v>1.1000000000000001</v>
      </c>
      <c r="F219" s="183">
        <v>1.1000000000000001</v>
      </c>
      <c r="G219" s="11" t="s">
        <v>455</v>
      </c>
    </row>
    <row r="220" spans="1:8">
      <c r="A220" s="415"/>
      <c r="B220" s="415"/>
      <c r="C220" s="18">
        <v>2215</v>
      </c>
      <c r="D220" s="226"/>
      <c r="E220" s="183">
        <v>3</v>
      </c>
      <c r="F220" s="183">
        <v>3</v>
      </c>
      <c r="G220" s="11" t="s">
        <v>471</v>
      </c>
    </row>
    <row r="221" spans="1:8">
      <c r="A221" s="409" t="s">
        <v>439</v>
      </c>
      <c r="B221" s="409"/>
      <c r="C221" s="409"/>
      <c r="D221" s="409"/>
      <c r="E221" s="360">
        <f>SUM(E217:E220)</f>
        <v>239.99999999999997</v>
      </c>
      <c r="F221" s="360">
        <f>SUM(F217:F220)</f>
        <v>239.99999999999997</v>
      </c>
      <c r="G221" s="337"/>
    </row>
    <row r="222" spans="1:8">
      <c r="A222" s="410">
        <v>16</v>
      </c>
      <c r="B222" s="410" t="s">
        <v>396</v>
      </c>
      <c r="C222" s="284">
        <v>2111</v>
      </c>
      <c r="D222" s="226"/>
      <c r="E222" s="320">
        <v>16.100000000000001</v>
      </c>
      <c r="F222" s="320">
        <v>16.100000000000001</v>
      </c>
      <c r="G222" s="379" t="s">
        <v>343</v>
      </c>
    </row>
    <row r="223" spans="1:8">
      <c r="A223" s="410"/>
      <c r="B223" s="410"/>
      <c r="C223" s="284">
        <v>2121</v>
      </c>
      <c r="D223" s="226"/>
      <c r="E223" s="320">
        <v>2.8</v>
      </c>
      <c r="F223" s="320">
        <v>2.8</v>
      </c>
      <c r="G223" s="423"/>
    </row>
    <row r="224" spans="1:8">
      <c r="A224" s="410"/>
      <c r="B224" s="410"/>
      <c r="C224" s="284">
        <v>2218</v>
      </c>
      <c r="D224" s="226"/>
      <c r="E224" s="320">
        <v>119.9</v>
      </c>
      <c r="F224" s="320">
        <v>119.9</v>
      </c>
      <c r="G224" s="11" t="s">
        <v>399</v>
      </c>
    </row>
    <row r="225" spans="1:8">
      <c r="A225" s="410"/>
      <c r="B225" s="410"/>
      <c r="C225" s="18">
        <v>2215</v>
      </c>
      <c r="D225" s="226"/>
      <c r="E225" s="183">
        <v>1.1000000000000001</v>
      </c>
      <c r="F225" s="183">
        <v>1.1000000000000001</v>
      </c>
      <c r="G225" s="11" t="s">
        <v>455</v>
      </c>
    </row>
    <row r="226" spans="1:8">
      <c r="A226" s="410"/>
      <c r="B226" s="410"/>
      <c r="C226" s="18">
        <v>2215</v>
      </c>
      <c r="D226" s="226"/>
      <c r="E226" s="183">
        <v>3</v>
      </c>
      <c r="F226" s="183">
        <v>3</v>
      </c>
      <c r="G226" s="11" t="s">
        <v>471</v>
      </c>
    </row>
    <row r="227" spans="1:8">
      <c r="A227" s="409" t="s">
        <v>439</v>
      </c>
      <c r="B227" s="409"/>
      <c r="C227" s="409"/>
      <c r="D227" s="409"/>
      <c r="E227" s="360">
        <f>SUM(E222:E226)</f>
        <v>142.9</v>
      </c>
      <c r="F227" s="360">
        <f>SUM(F222:F226)</f>
        <v>142.9</v>
      </c>
      <c r="G227" s="11"/>
    </row>
    <row r="228" spans="1:8">
      <c r="A228" s="414">
        <v>17</v>
      </c>
      <c r="B228" s="414" t="s">
        <v>404</v>
      </c>
      <c r="C228" s="284">
        <v>2511</v>
      </c>
      <c r="D228" s="226"/>
      <c r="E228" s="320">
        <v>39.6</v>
      </c>
      <c r="F228" s="320">
        <v>39.6</v>
      </c>
      <c r="G228" s="11" t="s">
        <v>343</v>
      </c>
    </row>
    <row r="229" spans="1:8">
      <c r="A229" s="415"/>
      <c r="B229" s="415"/>
      <c r="C229" s="284">
        <v>2511</v>
      </c>
      <c r="D229" s="226"/>
      <c r="E229" s="183">
        <v>1.1000000000000001</v>
      </c>
      <c r="F229" s="183">
        <v>1.1000000000000001</v>
      </c>
      <c r="G229" s="11" t="s">
        <v>455</v>
      </c>
    </row>
    <row r="230" spans="1:8">
      <c r="A230" s="416"/>
      <c r="B230" s="416"/>
      <c r="C230" s="284">
        <v>2511</v>
      </c>
      <c r="D230" s="226"/>
      <c r="E230" s="183">
        <v>3</v>
      </c>
      <c r="F230" s="183">
        <v>3</v>
      </c>
      <c r="G230" s="11" t="s">
        <v>471</v>
      </c>
    </row>
    <row r="231" spans="1:8">
      <c r="A231" s="409" t="s">
        <v>439</v>
      </c>
      <c r="B231" s="409"/>
      <c r="C231" s="409"/>
      <c r="D231" s="409"/>
      <c r="E231" s="360">
        <f>SUM(E228:E230)</f>
        <v>43.7</v>
      </c>
      <c r="F231" s="360">
        <f>SUM(F228:F230)</f>
        <v>43.7</v>
      </c>
      <c r="G231" s="11"/>
    </row>
    <row r="232" spans="1:8">
      <c r="A232" s="410">
        <v>18</v>
      </c>
      <c r="B232" s="414" t="s">
        <v>15</v>
      </c>
      <c r="C232" s="18">
        <v>2221</v>
      </c>
      <c r="D232" s="226"/>
      <c r="E232" s="225">
        <v>159.4</v>
      </c>
      <c r="F232" s="225">
        <v>159.4</v>
      </c>
      <c r="G232" s="11" t="s">
        <v>407</v>
      </c>
    </row>
    <row r="233" spans="1:8">
      <c r="A233" s="410"/>
      <c r="B233" s="415"/>
      <c r="C233" s="18">
        <v>2215</v>
      </c>
      <c r="D233" s="226"/>
      <c r="E233" s="183">
        <v>31.9</v>
      </c>
      <c r="F233" s="183">
        <v>31.9</v>
      </c>
      <c r="G233" s="11" t="s">
        <v>455</v>
      </c>
    </row>
    <row r="234" spans="1:8">
      <c r="A234" s="410"/>
      <c r="B234" s="415"/>
      <c r="C234" s="18">
        <v>2215</v>
      </c>
      <c r="D234" s="226"/>
      <c r="E234" s="183">
        <v>58</v>
      </c>
      <c r="F234" s="183">
        <v>58</v>
      </c>
      <c r="G234" s="11" t="s">
        <v>471</v>
      </c>
    </row>
    <row r="235" spans="1:8">
      <c r="A235" s="410"/>
      <c r="B235" s="415"/>
      <c r="C235" s="18">
        <v>3112</v>
      </c>
      <c r="D235" s="226"/>
      <c r="E235" s="183"/>
      <c r="F235" s="183">
        <v>275</v>
      </c>
      <c r="G235" s="300" t="s">
        <v>535</v>
      </c>
    </row>
    <row r="236" spans="1:8" ht="25.5">
      <c r="A236" s="410"/>
      <c r="B236" s="415"/>
      <c r="C236" s="18">
        <v>22311400</v>
      </c>
      <c r="D236" s="226"/>
      <c r="E236" s="183"/>
      <c r="F236" s="183">
        <v>400</v>
      </c>
      <c r="G236" s="300" t="s">
        <v>504</v>
      </c>
    </row>
    <row r="237" spans="1:8">
      <c r="A237" s="410"/>
      <c r="B237" s="415"/>
      <c r="C237" s="18">
        <v>22311400</v>
      </c>
      <c r="D237" s="226"/>
      <c r="E237" s="183"/>
      <c r="F237" s="183">
        <v>200</v>
      </c>
      <c r="G237" s="11" t="s">
        <v>502</v>
      </c>
    </row>
    <row r="238" spans="1:8" ht="25.5">
      <c r="A238" s="410"/>
      <c r="B238" s="416"/>
      <c r="C238" s="18">
        <v>2221</v>
      </c>
      <c r="D238" s="226"/>
      <c r="E238" s="225">
        <v>176.8</v>
      </c>
      <c r="F238" s="225">
        <v>176.8</v>
      </c>
      <c r="G238" s="11" t="s">
        <v>408</v>
      </c>
    </row>
    <row r="239" spans="1:8">
      <c r="A239" s="409" t="s">
        <v>439</v>
      </c>
      <c r="B239" s="409"/>
      <c r="C239" s="409"/>
      <c r="D239" s="409"/>
      <c r="E239" s="354">
        <f>SUM(E232:E238)</f>
        <v>426.1</v>
      </c>
      <c r="F239" s="354">
        <f>SUM(F232:F238)</f>
        <v>1301.0999999999999</v>
      </c>
      <c r="G239" s="11"/>
      <c r="H239" s="303"/>
    </row>
    <row r="240" spans="1:8">
      <c r="A240" s="378">
        <v>19</v>
      </c>
      <c r="B240" s="378" t="s">
        <v>323</v>
      </c>
      <c r="C240" s="18">
        <v>2218</v>
      </c>
      <c r="D240" s="226"/>
      <c r="E240" s="225">
        <v>5304</v>
      </c>
      <c r="F240" s="225">
        <v>5304</v>
      </c>
      <c r="G240" s="11" t="s">
        <v>410</v>
      </c>
    </row>
    <row r="241" spans="1:8">
      <c r="A241" s="378"/>
      <c r="B241" s="378"/>
      <c r="C241" s="18">
        <v>2215</v>
      </c>
      <c r="D241" s="226"/>
      <c r="E241" s="225">
        <v>300</v>
      </c>
      <c r="F241" s="225">
        <v>300</v>
      </c>
      <c r="G241" s="11" t="s">
        <v>411</v>
      </c>
    </row>
    <row r="242" spans="1:8">
      <c r="A242" s="378"/>
      <c r="B242" s="378"/>
      <c r="C242" s="18">
        <v>2221</v>
      </c>
      <c r="D242" s="226"/>
      <c r="E242" s="225">
        <v>439.7</v>
      </c>
      <c r="F242" s="225">
        <v>439.7</v>
      </c>
      <c r="G242" s="11" t="s">
        <v>412</v>
      </c>
    </row>
    <row r="243" spans="1:8">
      <c r="A243" s="378"/>
      <c r="B243" s="378"/>
      <c r="C243" s="18">
        <v>22311100</v>
      </c>
      <c r="D243" s="226"/>
      <c r="E243" s="225">
        <v>720</v>
      </c>
      <c r="F243" s="225">
        <v>720</v>
      </c>
      <c r="G243" s="11" t="s">
        <v>413</v>
      </c>
    </row>
    <row r="244" spans="1:8">
      <c r="A244" s="378"/>
      <c r="B244" s="378"/>
      <c r="C244" s="18">
        <v>2221</v>
      </c>
      <c r="D244" s="226"/>
      <c r="E244" s="225">
        <v>9</v>
      </c>
      <c r="F244" s="225">
        <v>9</v>
      </c>
      <c r="G244" s="11" t="s">
        <v>414</v>
      </c>
    </row>
    <row r="245" spans="1:8">
      <c r="A245" s="378"/>
      <c r="B245" s="378"/>
      <c r="C245" s="18">
        <v>2221</v>
      </c>
      <c r="D245" s="226"/>
      <c r="E245" s="225">
        <v>10.5</v>
      </c>
      <c r="F245" s="225">
        <v>10.5</v>
      </c>
      <c r="G245" s="11" t="s">
        <v>415</v>
      </c>
    </row>
    <row r="246" spans="1:8">
      <c r="A246" s="378"/>
      <c r="B246" s="378"/>
      <c r="C246" s="18">
        <v>3112</v>
      </c>
      <c r="D246" s="226"/>
      <c r="E246" s="225">
        <v>130</v>
      </c>
      <c r="F246" s="225">
        <v>130</v>
      </c>
      <c r="G246" s="11" t="s">
        <v>416</v>
      </c>
    </row>
    <row r="247" spans="1:8">
      <c r="A247" s="378"/>
      <c r="B247" s="378"/>
      <c r="C247" s="18">
        <v>2215</v>
      </c>
      <c r="D247" s="226"/>
      <c r="E247" s="225">
        <v>13</v>
      </c>
      <c r="F247" s="225">
        <v>13</v>
      </c>
      <c r="G247" s="11" t="s">
        <v>417</v>
      </c>
    </row>
    <row r="248" spans="1:8">
      <c r="A248" s="378"/>
      <c r="B248" s="378"/>
      <c r="C248" s="18">
        <v>2215</v>
      </c>
      <c r="D248" s="226"/>
      <c r="E248" s="183">
        <v>36.299999999999997</v>
      </c>
      <c r="F248" s="183">
        <v>36.299999999999997</v>
      </c>
      <c r="G248" s="11" t="s">
        <v>455</v>
      </c>
    </row>
    <row r="249" spans="1:8">
      <c r="A249" s="378"/>
      <c r="B249" s="378"/>
      <c r="C249" s="18">
        <v>2215</v>
      </c>
      <c r="D249" s="226"/>
      <c r="E249" s="183">
        <v>66</v>
      </c>
      <c r="F249" s="183">
        <v>66</v>
      </c>
      <c r="G249" s="11" t="s">
        <v>471</v>
      </c>
    </row>
    <row r="250" spans="1:8">
      <c r="A250" s="378"/>
      <c r="B250" s="378"/>
      <c r="C250" s="18">
        <v>2221</v>
      </c>
      <c r="D250" s="226"/>
      <c r="E250" s="183"/>
      <c r="F250" s="183">
        <v>111</v>
      </c>
      <c r="G250" s="11" t="s">
        <v>486</v>
      </c>
    </row>
    <row r="251" spans="1:8" ht="25.5">
      <c r="A251" s="378"/>
      <c r="B251" s="378"/>
      <c r="C251" s="18">
        <v>2221</v>
      </c>
      <c r="D251" s="226"/>
      <c r="E251" s="225">
        <v>450</v>
      </c>
      <c r="F251" s="225">
        <v>450</v>
      </c>
      <c r="G251" s="11" t="s">
        <v>418</v>
      </c>
    </row>
    <row r="252" spans="1:8">
      <c r="A252" s="406" t="s">
        <v>439</v>
      </c>
      <c r="B252" s="407"/>
      <c r="C252" s="407"/>
      <c r="D252" s="408"/>
      <c r="E252" s="354">
        <f>SUM(E240:E251)</f>
        <v>7478.5</v>
      </c>
      <c r="F252" s="354">
        <f>SUM(F240:F251)</f>
        <v>7589.5</v>
      </c>
      <c r="G252" s="11"/>
      <c r="H252" s="303"/>
    </row>
    <row r="253" spans="1:8" ht="27.6" customHeight="1">
      <c r="A253" s="414">
        <v>20</v>
      </c>
      <c r="B253" s="414" t="s">
        <v>334</v>
      </c>
      <c r="C253" s="18">
        <v>2212</v>
      </c>
      <c r="D253" s="226"/>
      <c r="E253" s="225">
        <v>10</v>
      </c>
      <c r="F253" s="225">
        <v>10</v>
      </c>
      <c r="G253" s="11" t="s">
        <v>419</v>
      </c>
    </row>
    <row r="254" spans="1:8" ht="13.9" customHeight="1">
      <c r="A254" s="415"/>
      <c r="B254" s="415"/>
      <c r="C254" s="18">
        <v>22311100</v>
      </c>
      <c r="D254" s="226"/>
      <c r="E254" s="225">
        <v>6.7</v>
      </c>
      <c r="F254" s="225">
        <v>6.7</v>
      </c>
      <c r="G254" s="11" t="s">
        <v>413</v>
      </c>
    </row>
    <row r="255" spans="1:8" ht="13.9" customHeight="1">
      <c r="A255" s="415"/>
      <c r="B255" s="415"/>
      <c r="C255" s="18">
        <v>2215</v>
      </c>
      <c r="D255" s="226"/>
      <c r="E255" s="183">
        <v>1.1000000000000001</v>
      </c>
      <c r="F255" s="183">
        <v>1.1000000000000001</v>
      </c>
      <c r="G255" s="11" t="s">
        <v>455</v>
      </c>
    </row>
    <row r="256" spans="1:8" ht="13.9" customHeight="1">
      <c r="A256" s="415"/>
      <c r="B256" s="415"/>
      <c r="C256" s="18">
        <v>2215</v>
      </c>
      <c r="D256" s="226"/>
      <c r="E256" s="183">
        <v>2</v>
      </c>
      <c r="F256" s="183">
        <v>2</v>
      </c>
      <c r="G256" s="11" t="s">
        <v>471</v>
      </c>
    </row>
    <row r="257" spans="1:12" ht="13.9" customHeight="1">
      <c r="A257" s="415"/>
      <c r="B257" s="415"/>
      <c r="C257" s="18">
        <v>2222</v>
      </c>
      <c r="D257" s="226"/>
      <c r="E257" s="225">
        <v>257.2</v>
      </c>
      <c r="F257" s="225">
        <v>257.2</v>
      </c>
      <c r="G257" s="11" t="s">
        <v>420</v>
      </c>
    </row>
    <row r="258" spans="1:12" ht="13.9" customHeight="1">
      <c r="A258" s="416"/>
      <c r="B258" s="416"/>
      <c r="C258" s="18">
        <v>2223</v>
      </c>
      <c r="D258" s="226"/>
      <c r="E258" s="225">
        <v>200</v>
      </c>
      <c r="F258" s="225">
        <v>200</v>
      </c>
      <c r="G258" s="11" t="s">
        <v>421</v>
      </c>
    </row>
    <row r="259" spans="1:12" ht="13.9" customHeight="1">
      <c r="A259" s="406" t="s">
        <v>439</v>
      </c>
      <c r="B259" s="407"/>
      <c r="C259" s="407"/>
      <c r="D259" s="408"/>
      <c r="E259" s="354">
        <f>SUM(E253:E258)</f>
        <v>477</v>
      </c>
      <c r="F259" s="354">
        <f>SUM(F253:F258)</f>
        <v>477</v>
      </c>
      <c r="G259" s="338"/>
    </row>
    <row r="260" spans="1:12" ht="13.9" customHeight="1">
      <c r="A260" s="378">
        <v>21</v>
      </c>
      <c r="B260" s="378" t="s">
        <v>468</v>
      </c>
      <c r="C260" s="18">
        <v>2215</v>
      </c>
      <c r="D260" s="226"/>
      <c r="E260" s="183">
        <v>1.1000000000000001</v>
      </c>
      <c r="F260" s="183">
        <v>1.1000000000000001</v>
      </c>
      <c r="G260" s="11" t="s">
        <v>455</v>
      </c>
    </row>
    <row r="261" spans="1:12" ht="13.9" customHeight="1">
      <c r="A261" s="378"/>
      <c r="B261" s="378"/>
      <c r="C261" s="18">
        <v>2222</v>
      </c>
      <c r="D261" s="226"/>
      <c r="E261" s="183">
        <v>3</v>
      </c>
      <c r="F261" s="183">
        <v>3</v>
      </c>
      <c r="G261" s="11" t="s">
        <v>471</v>
      </c>
    </row>
    <row r="262" spans="1:12" ht="13.9" customHeight="1">
      <c r="A262" s="409" t="s">
        <v>439</v>
      </c>
      <c r="B262" s="409"/>
      <c r="C262" s="409"/>
      <c r="D262" s="409"/>
      <c r="E262" s="354">
        <f>SUM(E260:E261)</f>
        <v>4.0999999999999996</v>
      </c>
      <c r="F262" s="354">
        <f>SUM(F260:F261)</f>
        <v>4.0999999999999996</v>
      </c>
      <c r="G262" s="11"/>
    </row>
    <row r="263" spans="1:12" ht="13.9" customHeight="1">
      <c r="A263" s="378">
        <v>22</v>
      </c>
      <c r="B263" s="378" t="s">
        <v>14</v>
      </c>
      <c r="C263" s="18">
        <v>2215</v>
      </c>
      <c r="D263" s="226"/>
      <c r="E263" s="183">
        <v>1.1000000000000001</v>
      </c>
      <c r="F263" s="183">
        <v>1.1000000000000001</v>
      </c>
      <c r="G263" s="11" t="s">
        <v>455</v>
      </c>
    </row>
    <row r="264" spans="1:12" ht="13.9" customHeight="1">
      <c r="A264" s="378"/>
      <c r="B264" s="378"/>
      <c r="C264" s="18">
        <v>2222</v>
      </c>
      <c r="D264" s="226"/>
      <c r="E264" s="183">
        <v>3</v>
      </c>
      <c r="F264" s="183">
        <v>3</v>
      </c>
      <c r="G264" s="11" t="s">
        <v>471</v>
      </c>
    </row>
    <row r="265" spans="1:12" ht="13.9" customHeight="1">
      <c r="A265" s="378"/>
      <c r="B265" s="378"/>
      <c r="C265" s="18">
        <v>3112</v>
      </c>
      <c r="D265" s="226"/>
      <c r="E265" s="183">
        <v>7500</v>
      </c>
      <c r="F265" s="183">
        <v>7500</v>
      </c>
      <c r="G265" s="11" t="s">
        <v>478</v>
      </c>
    </row>
    <row r="266" spans="1:12" ht="13.9" customHeight="1">
      <c r="A266" s="378"/>
      <c r="B266" s="378"/>
      <c r="C266" s="18">
        <v>2215</v>
      </c>
      <c r="D266" s="226"/>
      <c r="E266" s="183">
        <v>1000</v>
      </c>
      <c r="F266" s="183">
        <v>1000</v>
      </c>
      <c r="G266" s="11" t="s">
        <v>474</v>
      </c>
    </row>
    <row r="267" spans="1:12" ht="13.9" customHeight="1">
      <c r="A267" s="409" t="s">
        <v>439</v>
      </c>
      <c r="B267" s="409"/>
      <c r="C267" s="409"/>
      <c r="D267" s="409"/>
      <c r="E267" s="354">
        <f>SUM(E263:E266)</f>
        <v>8504.1</v>
      </c>
      <c r="F267" s="354">
        <f>SUM(F263:F266)</f>
        <v>8504.1</v>
      </c>
      <c r="G267" s="11"/>
    </row>
    <row r="268" spans="1:12">
      <c r="A268" s="410">
        <v>23</v>
      </c>
      <c r="B268" s="410" t="s">
        <v>16</v>
      </c>
      <c r="C268" s="18">
        <v>2111</v>
      </c>
      <c r="D268" s="226"/>
      <c r="E268" s="225">
        <v>37.6</v>
      </c>
      <c r="F268" s="225">
        <v>37.6</v>
      </c>
      <c r="G268" s="413" t="s">
        <v>343</v>
      </c>
      <c r="H268" s="303"/>
    </row>
    <row r="269" spans="1:12">
      <c r="A269" s="410"/>
      <c r="B269" s="410"/>
      <c r="C269" s="18">
        <v>2121</v>
      </c>
      <c r="D269" s="226"/>
      <c r="E269" s="225">
        <v>5.6</v>
      </c>
      <c r="F269" s="225">
        <v>5.6</v>
      </c>
      <c r="G269" s="413"/>
      <c r="H269" s="303"/>
      <c r="J269" s="297"/>
      <c r="L269" s="25"/>
    </row>
    <row r="270" spans="1:12">
      <c r="A270" s="410"/>
      <c r="B270" s="410"/>
      <c r="C270" s="18">
        <v>2215</v>
      </c>
      <c r="D270" s="226"/>
      <c r="E270" s="183">
        <v>1.1000000000000001</v>
      </c>
      <c r="F270" s="183">
        <v>1.1000000000000001</v>
      </c>
      <c r="G270" s="11" t="s">
        <v>455</v>
      </c>
      <c r="H270" s="303"/>
      <c r="J270" s="297"/>
      <c r="L270" s="25"/>
    </row>
    <row r="271" spans="1:12">
      <c r="A271" s="410"/>
      <c r="B271" s="410"/>
      <c r="C271" s="18">
        <v>2222</v>
      </c>
      <c r="D271" s="226"/>
      <c r="E271" s="183">
        <v>3</v>
      </c>
      <c r="F271" s="183">
        <v>3</v>
      </c>
      <c r="G271" s="11" t="s">
        <v>471</v>
      </c>
      <c r="H271" s="303"/>
      <c r="J271" s="297"/>
      <c r="L271" s="25"/>
    </row>
    <row r="272" spans="1:12">
      <c r="A272" s="406" t="s">
        <v>439</v>
      </c>
      <c r="B272" s="407"/>
      <c r="C272" s="407"/>
      <c r="D272" s="408"/>
      <c r="E272" s="354">
        <f>SUM(E268:E271)</f>
        <v>47.300000000000004</v>
      </c>
      <c r="F272" s="354">
        <f>SUM(F268:F271)</f>
        <v>47.300000000000004</v>
      </c>
      <c r="G272" s="337"/>
      <c r="H272" s="303"/>
      <c r="J272" s="297"/>
      <c r="L272" s="25"/>
    </row>
    <row r="273" spans="1:12">
      <c r="A273" s="427">
        <v>24</v>
      </c>
      <c r="B273" s="427" t="s">
        <v>397</v>
      </c>
      <c r="C273" s="18">
        <v>2111</v>
      </c>
      <c r="D273" s="226"/>
      <c r="E273" s="225">
        <v>14.2</v>
      </c>
      <c r="F273" s="225">
        <v>14.2</v>
      </c>
      <c r="G273" s="379" t="s">
        <v>343</v>
      </c>
      <c r="H273" s="303"/>
    </row>
    <row r="274" spans="1:12">
      <c r="A274" s="428"/>
      <c r="B274" s="428"/>
      <c r="C274" s="18">
        <v>2121</v>
      </c>
      <c r="D274" s="226"/>
      <c r="E274" s="225">
        <v>2.4</v>
      </c>
      <c r="F274" s="225">
        <v>2.4</v>
      </c>
      <c r="G274" s="380"/>
      <c r="H274" s="303"/>
      <c r="J274" s="297"/>
      <c r="L274" s="25"/>
    </row>
    <row r="275" spans="1:12">
      <c r="A275" s="428"/>
      <c r="B275" s="428"/>
      <c r="C275" s="18">
        <v>2215</v>
      </c>
      <c r="D275" s="226"/>
      <c r="E275" s="183">
        <v>1.1000000000000001</v>
      </c>
      <c r="F275" s="183">
        <v>1.1000000000000001</v>
      </c>
      <c r="G275" s="11" t="s">
        <v>455</v>
      </c>
      <c r="H275" s="303"/>
      <c r="J275" s="297"/>
      <c r="L275" s="25"/>
    </row>
    <row r="276" spans="1:12">
      <c r="A276" s="429"/>
      <c r="B276" s="429"/>
      <c r="C276" s="18">
        <v>2222</v>
      </c>
      <c r="D276" s="226"/>
      <c r="E276" s="183">
        <v>3</v>
      </c>
      <c r="F276" s="183">
        <v>3</v>
      </c>
      <c r="G276" s="11" t="s">
        <v>471</v>
      </c>
      <c r="H276" s="303"/>
      <c r="J276" s="297"/>
      <c r="L276" s="25"/>
    </row>
    <row r="277" spans="1:12">
      <c r="A277" s="406" t="s">
        <v>439</v>
      </c>
      <c r="B277" s="407"/>
      <c r="C277" s="407"/>
      <c r="D277" s="408"/>
      <c r="E277" s="354">
        <f>SUM(E273:E276)</f>
        <v>20.7</v>
      </c>
      <c r="F277" s="354">
        <f>SUM(F273:F276)</f>
        <v>20.7</v>
      </c>
      <c r="G277" s="335"/>
      <c r="H277" s="303"/>
      <c r="J277" s="297"/>
      <c r="L277" s="25"/>
    </row>
    <row r="278" spans="1:12" ht="25.5">
      <c r="A278" s="229">
        <v>25</v>
      </c>
      <c r="B278" s="256" t="s">
        <v>228</v>
      </c>
      <c r="C278" s="18">
        <v>14224300</v>
      </c>
      <c r="D278" s="226">
        <v>2000</v>
      </c>
      <c r="E278" s="225"/>
      <c r="F278" s="225"/>
      <c r="G278" s="11" t="s">
        <v>481</v>
      </c>
    </row>
    <row r="279" spans="1:12">
      <c r="A279" s="18">
        <v>26</v>
      </c>
      <c r="B279" s="10" t="s">
        <v>240</v>
      </c>
      <c r="C279" s="18">
        <v>14224300</v>
      </c>
      <c r="D279" s="226">
        <f>1000+148.9</f>
        <v>1148.9000000000001</v>
      </c>
      <c r="E279" s="225"/>
      <c r="F279" s="225"/>
      <c r="G279" s="11" t="s">
        <v>473</v>
      </c>
    </row>
    <row r="280" spans="1:12" ht="25.5">
      <c r="A280" s="18">
        <v>27</v>
      </c>
      <c r="B280" s="10" t="s">
        <v>336</v>
      </c>
      <c r="C280" s="324">
        <v>11111100</v>
      </c>
      <c r="D280" s="226">
        <v>25000</v>
      </c>
      <c r="E280" s="225"/>
      <c r="F280" s="225"/>
      <c r="G280" s="11" t="s">
        <v>472</v>
      </c>
      <c r="J280" s="299"/>
    </row>
    <row r="281" spans="1:12" ht="25.5">
      <c r="A281" s="18">
        <v>28</v>
      </c>
      <c r="B281" s="10" t="s">
        <v>480</v>
      </c>
      <c r="C281" s="324"/>
      <c r="D281" s="226">
        <v>27400</v>
      </c>
      <c r="E281" s="225"/>
      <c r="F281" s="225"/>
      <c r="G281" s="11" t="s">
        <v>482</v>
      </c>
      <c r="J281" s="299"/>
    </row>
    <row r="282" spans="1:12">
      <c r="A282" s="18"/>
      <c r="B282" s="10"/>
      <c r="C282" s="324"/>
      <c r="D282" s="226"/>
      <c r="E282" s="225"/>
      <c r="F282" s="225"/>
      <c r="G282" s="11"/>
      <c r="J282" s="299"/>
    </row>
    <row r="283" spans="1:12">
      <c r="A283" s="18"/>
      <c r="B283" s="424" t="s">
        <v>213</v>
      </c>
      <c r="C283" s="425"/>
      <c r="D283" s="321">
        <f>SUM(D7:D282)</f>
        <v>85366.099999999991</v>
      </c>
      <c r="E283" s="321">
        <f>+E93+E103+E110+E116+E123+E127+E138+E153+E167+E180+E188+E193+E212+E216+E221+E227+E231+E239+E252+E259+E272+E277+E267+E262</f>
        <v>81679.214000000007</v>
      </c>
      <c r="F283" s="321">
        <f>+F93+F103+F110+F116+F123+F127+F138+F153+F167+F180+F188+F193+F212+F216+F221+F227+F231+F239+F252+F259+F272+F277+F267+F262</f>
        <v>85366.114000000016</v>
      </c>
      <c r="G283" s="11"/>
      <c r="H283" s="298"/>
      <c r="I283" s="298"/>
      <c r="J283" s="299"/>
    </row>
    <row r="284" spans="1:12">
      <c r="A284" s="322"/>
      <c r="B284" s="363" t="s">
        <v>510</v>
      </c>
      <c r="C284" s="17"/>
      <c r="D284" s="305"/>
      <c r="E284" s="298"/>
      <c r="F284" s="298"/>
      <c r="G284" s="362" t="s">
        <v>508</v>
      </c>
      <c r="H284" s="298"/>
      <c r="I284" s="298"/>
    </row>
    <row r="285" spans="1:12">
      <c r="A285" s="304"/>
      <c r="B285" s="363"/>
      <c r="C285" s="17"/>
      <c r="D285" s="305"/>
      <c r="E285" s="298"/>
      <c r="F285" s="298"/>
      <c r="G285" s="362"/>
      <c r="H285" s="298"/>
      <c r="I285" s="298"/>
    </row>
    <row r="286" spans="1:12">
      <c r="B286" s="2"/>
      <c r="C286" s="22"/>
      <c r="D286" s="298"/>
      <c r="E286" s="297">
        <f>4334.7-39.6</f>
        <v>4295.0999999999995</v>
      </c>
      <c r="G286" s="25"/>
    </row>
    <row r="287" spans="1:12" ht="15.75">
      <c r="B287" s="295"/>
      <c r="C287" s="295"/>
      <c r="D287" s="296"/>
      <c r="E287" s="296"/>
      <c r="F287" s="296"/>
      <c r="G287" s="296"/>
      <c r="H287" s="296"/>
      <c r="I287" s="22"/>
    </row>
  </sheetData>
  <mergeCells count="133">
    <mergeCell ref="G1:H1"/>
    <mergeCell ref="B268:B271"/>
    <mergeCell ref="A268:A271"/>
    <mergeCell ref="B273:B276"/>
    <mergeCell ref="A273:A276"/>
    <mergeCell ref="A232:A238"/>
    <mergeCell ref="A15:A16"/>
    <mergeCell ref="B15:B16"/>
    <mergeCell ref="G17:G21"/>
    <mergeCell ref="B124:B126"/>
    <mergeCell ref="A124:A126"/>
    <mergeCell ref="B128:B137"/>
    <mergeCell ref="G27:G28"/>
    <mergeCell ref="B228:B230"/>
    <mergeCell ref="A228:A230"/>
    <mergeCell ref="A128:A137"/>
    <mergeCell ref="B117:B122"/>
    <mergeCell ref="A168:A179"/>
    <mergeCell ref="B168:B179"/>
    <mergeCell ref="B65:B66"/>
    <mergeCell ref="A65:A66"/>
    <mergeCell ref="G217:G218"/>
    <mergeCell ref="A222:A226"/>
    <mergeCell ref="B222:B226"/>
    <mergeCell ref="G222:G223"/>
    <mergeCell ref="A180:D180"/>
    <mergeCell ref="A167:D167"/>
    <mergeCell ref="A127:D127"/>
    <mergeCell ref="G194:G195"/>
    <mergeCell ref="G198:G199"/>
    <mergeCell ref="G196:G197"/>
    <mergeCell ref="A189:A192"/>
    <mergeCell ref="B189:B192"/>
    <mergeCell ref="G189:G190"/>
    <mergeCell ref="G191:G192"/>
    <mergeCell ref="A139:A152"/>
    <mergeCell ref="B139:B152"/>
    <mergeCell ref="A123:D123"/>
    <mergeCell ref="A138:D138"/>
    <mergeCell ref="A153:D153"/>
    <mergeCell ref="B283:C283"/>
    <mergeCell ref="B194:B211"/>
    <mergeCell ref="A194:A211"/>
    <mergeCell ref="A240:A251"/>
    <mergeCell ref="B240:B251"/>
    <mergeCell ref="A213:A215"/>
    <mergeCell ref="B213:B215"/>
    <mergeCell ref="A252:D252"/>
    <mergeCell ref="A259:D259"/>
    <mergeCell ref="A272:D272"/>
    <mergeCell ref="A277:D277"/>
    <mergeCell ref="B260:B261"/>
    <mergeCell ref="B263:B266"/>
    <mergeCell ref="A260:A261"/>
    <mergeCell ref="A263:A266"/>
    <mergeCell ref="A262:D262"/>
    <mergeCell ref="A267:D267"/>
    <mergeCell ref="A253:A258"/>
    <mergeCell ref="B253:B258"/>
    <mergeCell ref="B217:B220"/>
    <mergeCell ref="A217:A220"/>
    <mergeCell ref="B232:B238"/>
    <mergeCell ref="G273:G274"/>
    <mergeCell ref="G268:G269"/>
    <mergeCell ref="A4:G4"/>
    <mergeCell ref="B111:B115"/>
    <mergeCell ref="A111:A115"/>
    <mergeCell ref="G111:G112"/>
    <mergeCell ref="G23:G26"/>
    <mergeCell ref="G33:G38"/>
    <mergeCell ref="G31:G32"/>
    <mergeCell ref="G77:G78"/>
    <mergeCell ref="A9:A11"/>
    <mergeCell ref="B9:B11"/>
    <mergeCell ref="G9:G11"/>
    <mergeCell ref="A12:A13"/>
    <mergeCell ref="A33:A39"/>
    <mergeCell ref="B33:B39"/>
    <mergeCell ref="A17:A22"/>
    <mergeCell ref="A31:A32"/>
    <mergeCell ref="B31:B32"/>
    <mergeCell ref="G54:G56"/>
    <mergeCell ref="G40:G45"/>
    <mergeCell ref="A51:A52"/>
    <mergeCell ref="B51:B52"/>
    <mergeCell ref="A40:A49"/>
    <mergeCell ref="B40:B49"/>
    <mergeCell ref="B12:B13"/>
    <mergeCell ref="B54:B56"/>
    <mergeCell ref="B27:B29"/>
    <mergeCell ref="A77:A92"/>
    <mergeCell ref="B77:B92"/>
    <mergeCell ref="G57:G61"/>
    <mergeCell ref="G67:G72"/>
    <mergeCell ref="B57:B64"/>
    <mergeCell ref="A57:A64"/>
    <mergeCell ref="B67:B75"/>
    <mergeCell ref="A67:A75"/>
    <mergeCell ref="G117:G118"/>
    <mergeCell ref="G104:G105"/>
    <mergeCell ref="A94:A102"/>
    <mergeCell ref="B94:B102"/>
    <mergeCell ref="A104:A109"/>
    <mergeCell ref="B104:B109"/>
    <mergeCell ref="A93:D93"/>
    <mergeCell ref="A103:D103"/>
    <mergeCell ref="A110:D110"/>
    <mergeCell ref="A116:D116"/>
    <mergeCell ref="A117:A122"/>
    <mergeCell ref="G3:H3"/>
    <mergeCell ref="I3:J3"/>
    <mergeCell ref="A193:D193"/>
    <mergeCell ref="A212:D212"/>
    <mergeCell ref="A227:D227"/>
    <mergeCell ref="A239:D239"/>
    <mergeCell ref="A216:D216"/>
    <mergeCell ref="A221:D221"/>
    <mergeCell ref="A231:D231"/>
    <mergeCell ref="A188:D188"/>
    <mergeCell ref="B181:B187"/>
    <mergeCell ref="A181:A187"/>
    <mergeCell ref="G12:G13"/>
    <mergeCell ref="A27:A29"/>
    <mergeCell ref="G139:G140"/>
    <mergeCell ref="A154:A166"/>
    <mergeCell ref="B154:B166"/>
    <mergeCell ref="G156:G157"/>
    <mergeCell ref="G154:G155"/>
    <mergeCell ref="G141:G142"/>
    <mergeCell ref="A23:A26"/>
    <mergeCell ref="B23:B26"/>
    <mergeCell ref="B17:B22"/>
    <mergeCell ref="A54:A56"/>
  </mergeCells>
  <pageMargins left="0.19685039370078741" right="0" top="0.2" bottom="0.19685039370078741" header="0.21" footer="0.2"/>
  <pageSetup paperSize="9" scale="85" fitToHeight="0" orientation="portrait" r:id="rId1"/>
  <rowBreaks count="4" manualBreakCount="4">
    <brk id="57" max="6" man="1"/>
    <brk id="119" max="6" man="1"/>
    <brk id="172" max="6" man="1"/>
    <brk id="223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A1:J81"/>
  <sheetViews>
    <sheetView view="pageBreakPreview" topLeftCell="A51" zoomScaleNormal="85" zoomScaleSheetLayoutView="100" workbookViewId="0">
      <selection activeCell="B74" sqref="B74:G74"/>
    </sheetView>
  </sheetViews>
  <sheetFormatPr defaultColWidth="9.140625" defaultRowHeight="12.75"/>
  <cols>
    <col min="1" max="1" width="3" style="297" bestFit="1" customWidth="1"/>
    <col min="2" max="2" width="26" style="297" customWidth="1"/>
    <col min="3" max="3" width="9" style="297" bestFit="1" customWidth="1"/>
    <col min="4" max="4" width="14.140625" style="297" bestFit="1" customWidth="1"/>
    <col min="5" max="5" width="12.140625" style="297" hidden="1" customWidth="1"/>
    <col min="6" max="6" width="12.140625" style="297" customWidth="1"/>
    <col min="7" max="7" width="43.140625" style="297" customWidth="1"/>
    <col min="8" max="8" width="0.28515625" style="297" customWidth="1"/>
    <col min="9" max="16384" width="9.140625" style="297"/>
  </cols>
  <sheetData>
    <row r="1" spans="1:9" ht="70.900000000000006" customHeight="1">
      <c r="G1" s="426" t="s">
        <v>511</v>
      </c>
      <c r="H1" s="426"/>
    </row>
    <row r="2" spans="1:9" ht="13.9" customHeight="1"/>
    <row r="3" spans="1:9" ht="21" customHeight="1">
      <c r="A3" s="375" t="s">
        <v>342</v>
      </c>
      <c r="B3" s="376"/>
      <c r="C3" s="376"/>
      <c r="D3" s="376"/>
      <c r="E3" s="376"/>
      <c r="F3" s="376"/>
      <c r="G3" s="376"/>
      <c r="H3" s="399"/>
      <c r="I3" s="399"/>
    </row>
    <row r="4" spans="1:9" ht="51">
      <c r="A4" s="160" t="s">
        <v>0</v>
      </c>
      <c r="B4" s="160" t="s">
        <v>17</v>
      </c>
      <c r="C4" s="160" t="s">
        <v>161</v>
      </c>
      <c r="D4" s="19" t="s">
        <v>174</v>
      </c>
      <c r="E4" s="19" t="s">
        <v>177</v>
      </c>
      <c r="F4" s="19" t="s">
        <v>492</v>
      </c>
      <c r="G4" s="160" t="s">
        <v>162</v>
      </c>
    </row>
    <row r="5" spans="1:9">
      <c r="A5" s="24">
        <v>1</v>
      </c>
      <c r="B5" s="24">
        <v>2</v>
      </c>
      <c r="C5" s="24">
        <v>3</v>
      </c>
      <c r="D5" s="24">
        <v>4</v>
      </c>
      <c r="E5" s="24">
        <v>5</v>
      </c>
      <c r="F5" s="24">
        <v>5</v>
      </c>
      <c r="G5" s="24">
        <v>6</v>
      </c>
    </row>
    <row r="6" spans="1:9" ht="19.899999999999999" customHeight="1">
      <c r="A6" s="368">
        <v>1</v>
      </c>
      <c r="B6" s="414" t="s">
        <v>338</v>
      </c>
      <c r="C6" s="287">
        <v>14411100</v>
      </c>
      <c r="D6" s="309">
        <v>120.4</v>
      </c>
      <c r="E6" s="309"/>
      <c r="F6" s="309"/>
      <c r="G6" s="413" t="s">
        <v>405</v>
      </c>
    </row>
    <row r="7" spans="1:9" ht="21" customHeight="1">
      <c r="A7" s="371"/>
      <c r="B7" s="416"/>
      <c r="C7" s="287">
        <v>2215</v>
      </c>
      <c r="D7" s="309"/>
      <c r="E7" s="309">
        <v>120.4</v>
      </c>
      <c r="F7" s="309">
        <v>120.4</v>
      </c>
      <c r="G7" s="413"/>
    </row>
    <row r="8" spans="1:9">
      <c r="A8" s="430" t="s">
        <v>213</v>
      </c>
      <c r="B8" s="431"/>
      <c r="C8" s="432"/>
      <c r="D8" s="315">
        <f>SUM(D6:D7)</f>
        <v>120.4</v>
      </c>
      <c r="E8" s="315">
        <f>SUM(E6:E7)</f>
        <v>120.4</v>
      </c>
      <c r="F8" s="315">
        <f>SUM(F6:F7)</f>
        <v>120.4</v>
      </c>
      <c r="G8" s="300"/>
      <c r="I8" s="25"/>
    </row>
    <row r="9" spans="1:9">
      <c r="A9" s="368">
        <v>2</v>
      </c>
      <c r="B9" s="368" t="s">
        <v>321</v>
      </c>
      <c r="C9" s="18">
        <v>2215</v>
      </c>
      <c r="D9" s="226"/>
      <c r="E9" s="225">
        <v>70</v>
      </c>
      <c r="F9" s="225">
        <v>70</v>
      </c>
      <c r="G9" s="11" t="s">
        <v>389</v>
      </c>
    </row>
    <row r="10" spans="1:9">
      <c r="A10" s="369"/>
      <c r="B10" s="369"/>
      <c r="C10" s="18">
        <v>2222</v>
      </c>
      <c r="D10" s="226"/>
      <c r="E10" s="225">
        <f>24+14+7.2</f>
        <v>45.2</v>
      </c>
      <c r="F10" s="225">
        <f>24+14+7.2</f>
        <v>45.2</v>
      </c>
      <c r="G10" s="11" t="s">
        <v>390</v>
      </c>
    </row>
    <row r="11" spans="1:9">
      <c r="A11" s="369"/>
      <c r="B11" s="369"/>
      <c r="C11" s="18">
        <v>3112</v>
      </c>
      <c r="D11" s="226"/>
      <c r="E11" s="225">
        <v>60</v>
      </c>
      <c r="F11" s="225">
        <v>60</v>
      </c>
      <c r="G11" s="11" t="s">
        <v>390</v>
      </c>
    </row>
    <row r="12" spans="1:9">
      <c r="A12" s="371"/>
      <c r="B12" s="371"/>
      <c r="C12" s="286">
        <v>2222</v>
      </c>
      <c r="D12" s="306">
        <v>175.2</v>
      </c>
      <c r="E12" s="286"/>
      <c r="F12" s="286"/>
      <c r="G12" s="15" t="s">
        <v>467</v>
      </c>
    </row>
    <row r="13" spans="1:9">
      <c r="A13" s="430" t="s">
        <v>213</v>
      </c>
      <c r="B13" s="431"/>
      <c r="C13" s="432"/>
      <c r="D13" s="315">
        <f>SUM(D9:D12)</f>
        <v>175.2</v>
      </c>
      <c r="E13" s="315">
        <f>SUM(E9:E12)</f>
        <v>175.2</v>
      </c>
      <c r="F13" s="315">
        <f>SUM(F9:F12)</f>
        <v>175.2</v>
      </c>
      <c r="G13" s="300"/>
      <c r="I13" s="25"/>
    </row>
    <row r="14" spans="1:9" ht="13.15" customHeight="1">
      <c r="A14" s="368">
        <v>3</v>
      </c>
      <c r="B14" s="414" t="s">
        <v>228</v>
      </c>
      <c r="C14" s="18">
        <v>2214</v>
      </c>
      <c r="D14" s="224">
        <v>1.2</v>
      </c>
      <c r="E14" s="306"/>
      <c r="F14" s="306"/>
      <c r="G14" s="379" t="s">
        <v>344</v>
      </c>
    </row>
    <row r="15" spans="1:9">
      <c r="A15" s="369"/>
      <c r="B15" s="415"/>
      <c r="C15" s="286">
        <v>2222</v>
      </c>
      <c r="D15" s="306">
        <v>3.9</v>
      </c>
      <c r="E15" s="306"/>
      <c r="F15" s="306"/>
      <c r="G15" s="423"/>
    </row>
    <row r="16" spans="1:9">
      <c r="A16" s="369"/>
      <c r="B16" s="415"/>
      <c r="C16" s="286">
        <v>3112</v>
      </c>
      <c r="D16" s="306">
        <v>50.5</v>
      </c>
      <c r="E16" s="306"/>
      <c r="F16" s="306"/>
      <c r="G16" s="380"/>
    </row>
    <row r="17" spans="1:9">
      <c r="A17" s="369"/>
      <c r="B17" s="415"/>
      <c r="C17" s="286">
        <v>14238900</v>
      </c>
      <c r="D17" s="306">
        <v>2081</v>
      </c>
      <c r="E17" s="306"/>
      <c r="F17" s="306"/>
      <c r="G17" s="300" t="s">
        <v>337</v>
      </c>
    </row>
    <row r="18" spans="1:9">
      <c r="A18" s="369"/>
      <c r="B18" s="415"/>
      <c r="C18" s="286">
        <v>2111</v>
      </c>
      <c r="D18" s="306"/>
      <c r="E18" s="306">
        <v>542.6</v>
      </c>
      <c r="F18" s="306">
        <v>542.6</v>
      </c>
      <c r="G18" s="423" t="s">
        <v>343</v>
      </c>
    </row>
    <row r="19" spans="1:9">
      <c r="A19" s="369"/>
      <c r="B19" s="415"/>
      <c r="C19" s="286">
        <v>2121</v>
      </c>
      <c r="D19" s="306"/>
      <c r="E19" s="306">
        <v>77</v>
      </c>
      <c r="F19" s="306">
        <v>77</v>
      </c>
      <c r="G19" s="380"/>
    </row>
    <row r="20" spans="1:9" ht="25.5">
      <c r="A20" s="369"/>
      <c r="B20" s="415"/>
      <c r="C20" s="18">
        <v>2215</v>
      </c>
      <c r="D20" s="226"/>
      <c r="E20" s="323">
        <v>1.1000000000000001</v>
      </c>
      <c r="F20" s="183">
        <v>1.1000000000000001</v>
      </c>
      <c r="G20" s="11" t="s">
        <v>455</v>
      </c>
    </row>
    <row r="21" spans="1:9">
      <c r="A21" s="369"/>
      <c r="B21" s="415"/>
      <c r="C21" s="18">
        <v>2222</v>
      </c>
      <c r="D21" s="226"/>
      <c r="E21" s="323">
        <v>4</v>
      </c>
      <c r="F21" s="183">
        <v>4</v>
      </c>
      <c r="G21" s="11" t="s">
        <v>454</v>
      </c>
    </row>
    <row r="22" spans="1:9">
      <c r="A22" s="369"/>
      <c r="B22" s="415"/>
      <c r="C22" s="286">
        <v>2215</v>
      </c>
      <c r="D22" s="306"/>
      <c r="E22" s="306">
        <v>30</v>
      </c>
      <c r="F22" s="306">
        <v>30</v>
      </c>
      <c r="G22" s="300" t="s">
        <v>347</v>
      </c>
    </row>
    <row r="23" spans="1:9">
      <c r="A23" s="369"/>
      <c r="B23" s="415"/>
      <c r="C23" s="287">
        <v>2222</v>
      </c>
      <c r="D23" s="309"/>
      <c r="E23" s="309">
        <v>20</v>
      </c>
      <c r="F23" s="309">
        <v>20</v>
      </c>
      <c r="G23" s="300" t="s">
        <v>464</v>
      </c>
    </row>
    <row r="24" spans="1:9">
      <c r="A24" s="369"/>
      <c r="B24" s="415"/>
      <c r="C24" s="287">
        <v>2222</v>
      </c>
      <c r="D24" s="309"/>
      <c r="E24" s="309">
        <v>40</v>
      </c>
      <c r="F24" s="309">
        <v>40</v>
      </c>
      <c r="G24" s="300" t="s">
        <v>465</v>
      </c>
    </row>
    <row r="25" spans="1:9" ht="25.5">
      <c r="A25" s="369"/>
      <c r="B25" s="415"/>
      <c r="C25" s="255">
        <v>2231</v>
      </c>
      <c r="D25" s="307"/>
      <c r="E25" s="307">
        <v>40</v>
      </c>
      <c r="F25" s="307">
        <v>40</v>
      </c>
      <c r="G25" s="300" t="s">
        <v>348</v>
      </c>
      <c r="I25" s="25"/>
    </row>
    <row r="26" spans="1:9" ht="25.5">
      <c r="A26" s="369"/>
      <c r="B26" s="415"/>
      <c r="C26" s="255">
        <v>2221</v>
      </c>
      <c r="D26" s="307"/>
      <c r="E26" s="307">
        <v>38.6</v>
      </c>
      <c r="F26" s="307">
        <v>38.6</v>
      </c>
      <c r="G26" s="300" t="s">
        <v>345</v>
      </c>
      <c r="I26" s="25"/>
    </row>
    <row r="27" spans="1:9" ht="25.5">
      <c r="A27" s="369"/>
      <c r="B27" s="415"/>
      <c r="C27" s="284">
        <v>2221</v>
      </c>
      <c r="D27" s="307"/>
      <c r="E27" s="308">
        <v>51</v>
      </c>
      <c r="F27" s="308">
        <v>51</v>
      </c>
      <c r="G27" s="300" t="s">
        <v>346</v>
      </c>
      <c r="I27" s="299"/>
    </row>
    <row r="28" spans="1:9">
      <c r="A28" s="369"/>
      <c r="B28" s="415"/>
      <c r="C28" s="284">
        <v>3112</v>
      </c>
      <c r="D28" s="307"/>
      <c r="E28" s="308">
        <v>530</v>
      </c>
      <c r="F28" s="308">
        <v>530</v>
      </c>
      <c r="G28" s="300" t="s">
        <v>349</v>
      </c>
      <c r="I28" s="25"/>
    </row>
    <row r="29" spans="1:9">
      <c r="A29" s="369"/>
      <c r="B29" s="415"/>
      <c r="C29" s="284">
        <v>3112</v>
      </c>
      <c r="D29" s="307"/>
      <c r="E29" s="308">
        <v>80</v>
      </c>
      <c r="F29" s="308">
        <v>80</v>
      </c>
      <c r="G29" s="300" t="s">
        <v>350</v>
      </c>
      <c r="I29" s="25"/>
    </row>
    <row r="30" spans="1:9">
      <c r="A30" s="369"/>
      <c r="B30" s="415"/>
      <c r="C30" s="284">
        <v>3112</v>
      </c>
      <c r="D30" s="307"/>
      <c r="E30" s="308">
        <v>30</v>
      </c>
      <c r="F30" s="308">
        <v>30</v>
      </c>
      <c r="G30" s="300" t="s">
        <v>351</v>
      </c>
      <c r="I30" s="25"/>
    </row>
    <row r="31" spans="1:9" ht="25.5">
      <c r="A31" s="369"/>
      <c r="B31" s="415"/>
      <c r="C31" s="284">
        <v>3112</v>
      </c>
      <c r="D31" s="307"/>
      <c r="E31" s="308">
        <v>559.79999999999995</v>
      </c>
      <c r="F31" s="308">
        <v>559.79999999999995</v>
      </c>
      <c r="G31" s="11" t="s">
        <v>352</v>
      </c>
      <c r="I31" s="25"/>
    </row>
    <row r="32" spans="1:9">
      <c r="A32" s="371"/>
      <c r="B32" s="416"/>
      <c r="C32" s="284">
        <v>3112</v>
      </c>
      <c r="D32" s="307"/>
      <c r="E32" s="308">
        <v>92.5</v>
      </c>
      <c r="F32" s="308">
        <v>92.5</v>
      </c>
      <c r="G32" s="300" t="s">
        <v>353</v>
      </c>
      <c r="I32" s="25"/>
    </row>
    <row r="33" spans="1:9">
      <c r="A33" s="430" t="s">
        <v>213</v>
      </c>
      <c r="B33" s="431"/>
      <c r="C33" s="432"/>
      <c r="D33" s="315">
        <f>SUM(D14:D32)</f>
        <v>2136.6</v>
      </c>
      <c r="E33" s="315">
        <f>SUM(E18:E32)</f>
        <v>2136.6000000000004</v>
      </c>
      <c r="F33" s="315">
        <f>SUM(F18:F32)</f>
        <v>2136.6000000000004</v>
      </c>
      <c r="G33" s="300"/>
      <c r="I33" s="25"/>
    </row>
    <row r="34" spans="1:9" ht="13.15" customHeight="1">
      <c r="A34" s="410">
        <v>4</v>
      </c>
      <c r="B34" s="410" t="s">
        <v>295</v>
      </c>
      <c r="C34" s="286">
        <v>2214</v>
      </c>
      <c r="D34" s="306">
        <v>530.5</v>
      </c>
      <c r="E34" s="306"/>
      <c r="F34" s="306"/>
      <c r="G34" s="413" t="s">
        <v>344</v>
      </c>
    </row>
    <row r="35" spans="1:9">
      <c r="A35" s="410"/>
      <c r="B35" s="410"/>
      <c r="C35" s="286">
        <v>2215</v>
      </c>
      <c r="D35" s="306">
        <v>5.0999999999999996</v>
      </c>
      <c r="E35" s="306"/>
      <c r="F35" s="306"/>
      <c r="G35" s="413"/>
    </row>
    <row r="36" spans="1:9">
      <c r="A36" s="410"/>
      <c r="B36" s="410"/>
      <c r="C36" s="286">
        <v>2222</v>
      </c>
      <c r="D36" s="306">
        <v>45.2</v>
      </c>
      <c r="E36" s="306"/>
      <c r="F36" s="306"/>
      <c r="G36" s="413"/>
    </row>
    <row r="37" spans="1:9" ht="13.15" customHeight="1">
      <c r="A37" s="410"/>
      <c r="B37" s="410"/>
      <c r="C37" s="18">
        <v>3112</v>
      </c>
      <c r="D37" s="224">
        <v>16.2</v>
      </c>
      <c r="E37" s="224"/>
      <c r="F37" s="224"/>
      <c r="G37" s="413"/>
      <c r="I37" s="299"/>
    </row>
    <row r="38" spans="1:9">
      <c r="A38" s="410"/>
      <c r="B38" s="410"/>
      <c r="C38" s="18">
        <v>3111</v>
      </c>
      <c r="D38" s="224">
        <v>450</v>
      </c>
      <c r="E38" s="224"/>
      <c r="F38" s="224"/>
      <c r="G38" s="11" t="s">
        <v>377</v>
      </c>
      <c r="I38" s="299"/>
    </row>
    <row r="39" spans="1:9">
      <c r="A39" s="410"/>
      <c r="B39" s="410"/>
      <c r="C39" s="18">
        <v>2215</v>
      </c>
      <c r="D39" s="224">
        <v>120</v>
      </c>
      <c r="E39" s="224"/>
      <c r="F39" s="224"/>
      <c r="G39" s="413" t="s">
        <v>484</v>
      </c>
      <c r="I39" s="299"/>
    </row>
    <row r="40" spans="1:9">
      <c r="A40" s="410"/>
      <c r="B40" s="410"/>
      <c r="C40" s="18">
        <v>3112</v>
      </c>
      <c r="D40" s="224">
        <v>142</v>
      </c>
      <c r="E40" s="224"/>
      <c r="F40" s="224"/>
      <c r="G40" s="413"/>
      <c r="I40" s="299"/>
    </row>
    <row r="41" spans="1:9">
      <c r="A41" s="410"/>
      <c r="B41" s="410"/>
      <c r="C41" s="286">
        <v>2215</v>
      </c>
      <c r="D41" s="306">
        <v>535.79999999999995</v>
      </c>
      <c r="E41" s="306"/>
      <c r="F41" s="306"/>
      <c r="G41" s="11" t="s">
        <v>376</v>
      </c>
      <c r="I41" s="299"/>
    </row>
    <row r="42" spans="1:9">
      <c r="A42" s="410"/>
      <c r="B42" s="410"/>
      <c r="C42" s="286">
        <v>14238900</v>
      </c>
      <c r="D42" s="306">
        <v>2926.8</v>
      </c>
      <c r="E42" s="306"/>
      <c r="F42" s="306"/>
      <c r="G42" s="11"/>
      <c r="I42" s="299"/>
    </row>
    <row r="43" spans="1:9" ht="38.25">
      <c r="A43" s="410"/>
      <c r="B43" s="410"/>
      <c r="C43" s="18">
        <v>2111</v>
      </c>
      <c r="D43" s="224"/>
      <c r="E43" s="224">
        <v>339.9</v>
      </c>
      <c r="F43" s="224">
        <v>339.9</v>
      </c>
      <c r="G43" s="11" t="s">
        <v>382</v>
      </c>
      <c r="I43" s="299"/>
    </row>
    <row r="44" spans="1:9">
      <c r="A44" s="410"/>
      <c r="B44" s="410"/>
      <c r="C44" s="18">
        <v>2111</v>
      </c>
      <c r="D44" s="224"/>
      <c r="E44" s="224">
        <v>950.5</v>
      </c>
      <c r="F44" s="224">
        <v>950.5</v>
      </c>
      <c r="G44" s="413" t="s">
        <v>343</v>
      </c>
      <c r="I44" s="299"/>
    </row>
    <row r="45" spans="1:9">
      <c r="A45" s="410"/>
      <c r="B45" s="410"/>
      <c r="C45" s="18">
        <v>2121</v>
      </c>
      <c r="D45" s="224"/>
      <c r="E45" s="224">
        <v>134.9</v>
      </c>
      <c r="F45" s="224">
        <v>134.9</v>
      </c>
      <c r="G45" s="413"/>
      <c r="I45" s="299"/>
    </row>
    <row r="46" spans="1:9">
      <c r="A46" s="410"/>
      <c r="B46" s="410"/>
      <c r="C46" s="18">
        <v>2111</v>
      </c>
      <c r="D46" s="224"/>
      <c r="E46" s="224">
        <v>1304.0999999999999</v>
      </c>
      <c r="F46" s="224">
        <v>1304.0999999999999</v>
      </c>
      <c r="G46" s="413" t="s">
        <v>375</v>
      </c>
      <c r="I46" s="299"/>
    </row>
    <row r="47" spans="1:9">
      <c r="A47" s="410"/>
      <c r="B47" s="410"/>
      <c r="C47" s="18">
        <v>2121</v>
      </c>
      <c r="D47" s="224"/>
      <c r="E47" s="224">
        <v>225</v>
      </c>
      <c r="F47" s="224">
        <v>225</v>
      </c>
      <c r="G47" s="413"/>
      <c r="I47" s="299"/>
    </row>
    <row r="48" spans="1:9" ht="25.5">
      <c r="A48" s="410"/>
      <c r="B48" s="410"/>
      <c r="C48" s="18">
        <v>2111</v>
      </c>
      <c r="D48" s="224"/>
      <c r="E48" s="224">
        <v>832.9</v>
      </c>
      <c r="F48" s="224">
        <v>832.9</v>
      </c>
      <c r="G48" s="11" t="s">
        <v>378</v>
      </c>
      <c r="I48" s="299"/>
    </row>
    <row r="49" spans="1:10" ht="25.5">
      <c r="A49" s="410"/>
      <c r="B49" s="410"/>
      <c r="C49" s="18">
        <v>2215</v>
      </c>
      <c r="D49" s="226"/>
      <c r="E49" s="323">
        <v>1.1000000000000001</v>
      </c>
      <c r="F49" s="183">
        <v>1.1000000000000001</v>
      </c>
      <c r="G49" s="11" t="s">
        <v>455</v>
      </c>
      <c r="I49" s="299"/>
    </row>
    <row r="50" spans="1:10">
      <c r="A50" s="410"/>
      <c r="B50" s="410"/>
      <c r="C50" s="18">
        <v>2222</v>
      </c>
      <c r="D50" s="226"/>
      <c r="E50" s="323">
        <v>4</v>
      </c>
      <c r="F50" s="183">
        <v>4</v>
      </c>
      <c r="G50" s="11" t="s">
        <v>454</v>
      </c>
      <c r="I50" s="299"/>
    </row>
    <row r="51" spans="1:10" ht="18.600000000000001" customHeight="1">
      <c r="A51" s="410"/>
      <c r="B51" s="410"/>
      <c r="C51" s="18">
        <v>2222</v>
      </c>
      <c r="D51" s="224"/>
      <c r="E51" s="224">
        <v>250</v>
      </c>
      <c r="F51" s="224">
        <v>250</v>
      </c>
      <c r="G51" s="11" t="s">
        <v>380</v>
      </c>
      <c r="I51" s="299"/>
    </row>
    <row r="52" spans="1:10" ht="18.600000000000001" customHeight="1">
      <c r="A52" s="410"/>
      <c r="B52" s="410"/>
      <c r="C52" s="18">
        <v>2223</v>
      </c>
      <c r="D52" s="224"/>
      <c r="E52" s="224"/>
      <c r="F52" s="224">
        <v>262</v>
      </c>
      <c r="G52" s="11" t="s">
        <v>485</v>
      </c>
      <c r="I52" s="299"/>
    </row>
    <row r="53" spans="1:10" ht="25.5">
      <c r="A53" s="410"/>
      <c r="B53" s="410"/>
      <c r="C53" s="18">
        <v>2823</v>
      </c>
      <c r="D53" s="224"/>
      <c r="E53" s="224">
        <v>267.2</v>
      </c>
      <c r="F53" s="224">
        <v>267.2</v>
      </c>
      <c r="G53" s="11" t="s">
        <v>381</v>
      </c>
      <c r="H53" s="298"/>
      <c r="I53" s="299"/>
    </row>
    <row r="54" spans="1:10">
      <c r="A54" s="410"/>
      <c r="B54" s="410"/>
      <c r="C54" s="18">
        <v>3111</v>
      </c>
      <c r="D54" s="224"/>
      <c r="E54" s="224">
        <v>200</v>
      </c>
      <c r="F54" s="224">
        <v>200</v>
      </c>
      <c r="G54" s="11" t="s">
        <v>379</v>
      </c>
      <c r="I54" s="299"/>
      <c r="J54" s="298"/>
    </row>
    <row r="55" spans="1:10">
      <c r="A55" s="409" t="s">
        <v>213</v>
      </c>
      <c r="B55" s="409"/>
      <c r="C55" s="409"/>
      <c r="D55" s="315">
        <f>SUM(D34:D54)</f>
        <v>4771.6000000000004</v>
      </c>
      <c r="E55" s="315">
        <f>SUM(E34:E54)</f>
        <v>4509.6000000000004</v>
      </c>
      <c r="F55" s="315">
        <f>SUM(F34:F54)</f>
        <v>4771.5999999999995</v>
      </c>
      <c r="G55" s="11"/>
      <c r="I55" s="25"/>
    </row>
    <row r="56" spans="1:10">
      <c r="A56" s="378">
        <v>5</v>
      </c>
      <c r="B56" s="378" t="s">
        <v>13</v>
      </c>
      <c r="C56" s="286">
        <v>14238900</v>
      </c>
      <c r="D56" s="308">
        <v>50</v>
      </c>
      <c r="E56" s="308"/>
      <c r="F56" s="308"/>
      <c r="G56" s="11" t="s">
        <v>337</v>
      </c>
      <c r="I56" s="25"/>
    </row>
    <row r="57" spans="1:10">
      <c r="A57" s="378"/>
      <c r="B57" s="378"/>
      <c r="C57" s="332">
        <v>2222</v>
      </c>
      <c r="D57" s="308"/>
      <c r="E57" s="308"/>
      <c r="F57" s="308">
        <v>50</v>
      </c>
      <c r="G57" s="11" t="s">
        <v>490</v>
      </c>
      <c r="I57" s="25"/>
    </row>
    <row r="58" spans="1:10">
      <c r="A58" s="409" t="s">
        <v>213</v>
      </c>
      <c r="B58" s="409"/>
      <c r="C58" s="409"/>
      <c r="D58" s="315">
        <f>SUM(D56:D57)</f>
        <v>50</v>
      </c>
      <c r="E58" s="315">
        <f t="shared" ref="E58:F58" si="0">SUM(E56:E57)</f>
        <v>0</v>
      </c>
      <c r="F58" s="315">
        <f t="shared" si="0"/>
        <v>50</v>
      </c>
      <c r="G58" s="11"/>
      <c r="I58" s="25"/>
    </row>
    <row r="59" spans="1:10" ht="19.899999999999999" customHeight="1">
      <c r="A59" s="410">
        <v>6</v>
      </c>
      <c r="B59" s="410" t="s">
        <v>461</v>
      </c>
      <c r="C59" s="286">
        <v>22311100</v>
      </c>
      <c r="D59" s="306">
        <v>1027.8</v>
      </c>
      <c r="E59" s="306"/>
      <c r="F59" s="306"/>
      <c r="G59" s="11" t="s">
        <v>466</v>
      </c>
    </row>
    <row r="60" spans="1:10">
      <c r="A60" s="410"/>
      <c r="B60" s="410"/>
      <c r="C60" s="284">
        <v>2215</v>
      </c>
      <c r="D60" s="226"/>
      <c r="E60" s="320">
        <v>80</v>
      </c>
      <c r="F60" s="320">
        <v>80</v>
      </c>
      <c r="G60" s="76" t="s">
        <v>445</v>
      </c>
      <c r="J60" s="25"/>
    </row>
    <row r="61" spans="1:10" ht="25.5">
      <c r="A61" s="410"/>
      <c r="B61" s="410"/>
      <c r="C61" s="284">
        <v>2222</v>
      </c>
      <c r="D61" s="226"/>
      <c r="E61" s="320">
        <v>847.8</v>
      </c>
      <c r="F61" s="320">
        <v>847.8</v>
      </c>
      <c r="G61" s="76" t="s">
        <v>444</v>
      </c>
      <c r="J61" s="25"/>
    </row>
    <row r="62" spans="1:10">
      <c r="A62" s="410"/>
      <c r="B62" s="410"/>
      <c r="C62" s="284">
        <v>22311200</v>
      </c>
      <c r="D62" s="226"/>
      <c r="E62" s="320">
        <v>100</v>
      </c>
      <c r="F62" s="320">
        <v>100</v>
      </c>
      <c r="G62" s="76" t="s">
        <v>398</v>
      </c>
      <c r="J62" s="298"/>
    </row>
    <row r="63" spans="1:10">
      <c r="A63" s="409" t="s">
        <v>213</v>
      </c>
      <c r="B63" s="409"/>
      <c r="C63" s="409"/>
      <c r="D63" s="315">
        <f>SUM(D59:D62)</f>
        <v>1027.8</v>
      </c>
      <c r="E63" s="315">
        <f>SUM(E59:E62)</f>
        <v>1027.8</v>
      </c>
      <c r="F63" s="315">
        <f>SUM(F59:F62)</f>
        <v>1027.8</v>
      </c>
      <c r="G63" s="11"/>
      <c r="I63" s="25"/>
      <c r="J63" s="298"/>
    </row>
    <row r="64" spans="1:10" ht="19.899999999999999" customHeight="1">
      <c r="A64" s="410">
        <v>7</v>
      </c>
      <c r="B64" s="410" t="s">
        <v>323</v>
      </c>
      <c r="C64" s="286">
        <v>14232900</v>
      </c>
      <c r="D64" s="306">
        <v>100</v>
      </c>
      <c r="E64" s="306"/>
      <c r="F64" s="306"/>
      <c r="G64" s="11" t="s">
        <v>337</v>
      </c>
    </row>
    <row r="65" spans="1:10">
      <c r="A65" s="410"/>
      <c r="B65" s="410"/>
      <c r="C65" s="284">
        <v>2218</v>
      </c>
      <c r="D65" s="226"/>
      <c r="E65" s="320"/>
      <c r="F65" s="320">
        <v>100</v>
      </c>
      <c r="G65" s="76" t="s">
        <v>491</v>
      </c>
      <c r="J65" s="25"/>
    </row>
    <row r="66" spans="1:10">
      <c r="A66" s="409" t="s">
        <v>213</v>
      </c>
      <c r="B66" s="409"/>
      <c r="C66" s="409"/>
      <c r="D66" s="315">
        <f>SUM(D64:E65)</f>
        <v>100</v>
      </c>
      <c r="E66" s="315">
        <f>SUM(E63:E65)</f>
        <v>1027.8</v>
      </c>
      <c r="F66" s="315">
        <f>SUM(F64:G65)</f>
        <v>100</v>
      </c>
      <c r="G66" s="11"/>
      <c r="I66" s="25"/>
      <c r="J66" s="298"/>
    </row>
    <row r="67" spans="1:10" ht="25.5">
      <c r="A67" s="410">
        <v>8</v>
      </c>
      <c r="B67" s="410" t="s">
        <v>334</v>
      </c>
      <c r="C67" s="286">
        <v>14232400</v>
      </c>
      <c r="D67" s="306">
        <v>180.6</v>
      </c>
      <c r="E67" s="306"/>
      <c r="F67" s="306"/>
      <c r="G67" s="11" t="s">
        <v>496</v>
      </c>
    </row>
    <row r="68" spans="1:10">
      <c r="A68" s="410"/>
      <c r="B68" s="410"/>
      <c r="C68" s="286">
        <v>2222</v>
      </c>
      <c r="D68" s="306"/>
      <c r="E68" s="306"/>
      <c r="F68" s="306">
        <v>73.599999999999994</v>
      </c>
      <c r="G68" s="11" t="s">
        <v>490</v>
      </c>
    </row>
    <row r="69" spans="1:10">
      <c r="A69" s="410"/>
      <c r="B69" s="410"/>
      <c r="C69" s="284">
        <v>3112</v>
      </c>
      <c r="D69" s="226"/>
      <c r="E69" s="320"/>
      <c r="F69" s="320">
        <v>107</v>
      </c>
      <c r="G69" s="76" t="s">
        <v>497</v>
      </c>
      <c r="J69" s="25"/>
    </row>
    <row r="70" spans="1:10">
      <c r="A70" s="409" t="s">
        <v>213</v>
      </c>
      <c r="B70" s="409"/>
      <c r="C70" s="409"/>
      <c r="D70" s="315">
        <f>SUM(D67:E69)</f>
        <v>180.6</v>
      </c>
      <c r="E70" s="315">
        <f>SUM(E66:E69)</f>
        <v>1027.8</v>
      </c>
      <c r="F70" s="315">
        <f>SUM(F67:G69)</f>
        <v>180.6</v>
      </c>
      <c r="G70" s="11"/>
      <c r="I70" s="25"/>
      <c r="J70" s="298"/>
    </row>
    <row r="71" spans="1:10">
      <c r="A71" s="430" t="s">
        <v>18</v>
      </c>
      <c r="B71" s="431"/>
      <c r="C71" s="432"/>
      <c r="D71" s="310">
        <f>+D8+D13+D33+D55+D63+D58+D66+D70</f>
        <v>8562.2000000000007</v>
      </c>
      <c r="E71" s="310" t="e">
        <f>+E8+E13+E33+E55+E63+E58+#REF!</f>
        <v>#REF!</v>
      </c>
      <c r="F71" s="310">
        <f>+F8+F13+F33+F55+F63+F58+F66+F70</f>
        <v>8562.1999999999989</v>
      </c>
      <c r="G71" s="11"/>
      <c r="H71" s="298"/>
      <c r="I71" s="311"/>
    </row>
    <row r="72" spans="1:10">
      <c r="A72" s="304"/>
      <c r="B72" s="363"/>
      <c r="C72" s="17"/>
      <c r="D72" s="305"/>
      <c r="E72" s="298"/>
      <c r="F72" s="298"/>
      <c r="G72" s="362"/>
    </row>
    <row r="73" spans="1:10">
      <c r="A73" s="304"/>
      <c r="B73" s="17"/>
      <c r="C73" s="17"/>
      <c r="D73" s="312"/>
    </row>
    <row r="74" spans="1:10">
      <c r="A74" s="304"/>
      <c r="B74" s="363" t="s">
        <v>510</v>
      </c>
      <c r="C74" s="17"/>
      <c r="D74" s="305"/>
      <c r="E74" s="298"/>
      <c r="F74" s="298"/>
      <c r="G74" s="362" t="s">
        <v>508</v>
      </c>
    </row>
    <row r="75" spans="1:10">
      <c r="A75" s="304"/>
      <c r="B75" s="17"/>
      <c r="C75" s="17"/>
      <c r="D75" s="313"/>
    </row>
    <row r="76" spans="1:10">
      <c r="B76" s="164"/>
      <c r="C76" s="164"/>
      <c r="D76" s="164"/>
      <c r="E76" s="164"/>
      <c r="F76" s="164"/>
      <c r="G76" s="164"/>
    </row>
    <row r="77" spans="1:10">
      <c r="B77" s="25"/>
    </row>
    <row r="79" spans="1:10">
      <c r="A79" s="17"/>
      <c r="B79" s="304"/>
      <c r="C79" s="304"/>
      <c r="D79" s="314"/>
    </row>
    <row r="80" spans="1:10">
      <c r="A80" s="9"/>
      <c r="B80" s="9"/>
      <c r="C80" s="9"/>
      <c r="D80" s="9"/>
    </row>
    <row r="81" spans="9:9">
      <c r="I81" s="298"/>
    </row>
  </sheetData>
  <mergeCells count="35">
    <mergeCell ref="G1:H1"/>
    <mergeCell ref="A3:G3"/>
    <mergeCell ref="A14:A32"/>
    <mergeCell ref="B14:B32"/>
    <mergeCell ref="G14:G16"/>
    <mergeCell ref="G18:G19"/>
    <mergeCell ref="B9:B12"/>
    <mergeCell ref="A9:A12"/>
    <mergeCell ref="A13:C13"/>
    <mergeCell ref="A8:C8"/>
    <mergeCell ref="G6:G7"/>
    <mergeCell ref="A6:A7"/>
    <mergeCell ref="B6:B7"/>
    <mergeCell ref="H3:I3"/>
    <mergeCell ref="G44:G45"/>
    <mergeCell ref="G46:G47"/>
    <mergeCell ref="A34:A54"/>
    <mergeCell ref="B34:B54"/>
    <mergeCell ref="G34:G37"/>
    <mergeCell ref="G39:G40"/>
    <mergeCell ref="A71:C71"/>
    <mergeCell ref="A33:C33"/>
    <mergeCell ref="A55:C55"/>
    <mergeCell ref="B59:B62"/>
    <mergeCell ref="A59:A62"/>
    <mergeCell ref="A63:C63"/>
    <mergeCell ref="A56:A57"/>
    <mergeCell ref="B56:B57"/>
    <mergeCell ref="A58:C58"/>
    <mergeCell ref="A64:A65"/>
    <mergeCell ref="A66:C66"/>
    <mergeCell ref="A67:A69"/>
    <mergeCell ref="B67:B69"/>
    <mergeCell ref="A70:C70"/>
    <mergeCell ref="B64:B65"/>
  </mergeCells>
  <pageMargins left="0.19685039370078741" right="0.19685039370078741" top="0.35" bottom="0.48" header="0.31496062992125984" footer="0.31496062992125984"/>
  <pageSetup paperSize="9" scale="95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  <pageSetUpPr fitToPage="1"/>
  </sheetPr>
  <dimension ref="A1:AH21"/>
  <sheetViews>
    <sheetView view="pageBreakPreview" zoomScale="85" zoomScaleNormal="70" zoomScaleSheetLayoutView="85" workbookViewId="0">
      <selection activeCell="AA21" sqref="AA21"/>
    </sheetView>
  </sheetViews>
  <sheetFormatPr defaultColWidth="9.140625" defaultRowHeight="12.75"/>
  <cols>
    <col min="1" max="1" width="3.42578125" style="64" bestFit="1" customWidth="1"/>
    <col min="2" max="2" width="27.28515625" style="64" customWidth="1"/>
    <col min="3" max="3" width="3.7109375" style="64" customWidth="1"/>
    <col min="4" max="4" width="7.28515625" style="64" customWidth="1"/>
    <col min="5" max="5" width="6.28515625" style="64" customWidth="1"/>
    <col min="6" max="6" width="8.7109375" style="64" customWidth="1"/>
    <col min="7" max="7" width="6.28515625" style="64" customWidth="1"/>
    <col min="8" max="8" width="7.42578125" style="64" customWidth="1"/>
    <col min="9" max="9" width="7" style="64" customWidth="1"/>
    <col min="10" max="10" width="4.85546875" style="64" hidden="1" customWidth="1"/>
    <col min="11" max="11" width="11.140625" style="64" hidden="1" customWidth="1"/>
    <col min="12" max="13" width="6.5703125" style="64" hidden="1" customWidth="1"/>
    <col min="14" max="14" width="5.5703125" style="64" hidden="1" customWidth="1"/>
    <col min="15" max="15" width="7.85546875" style="64" hidden="1" customWidth="1"/>
    <col min="16" max="16" width="6.85546875" style="64" customWidth="1"/>
    <col min="17" max="17" width="7.42578125" style="64" customWidth="1"/>
    <col min="18" max="18" width="7.5703125" style="64" customWidth="1"/>
    <col min="19" max="19" width="6.85546875" style="64" customWidth="1"/>
    <col min="20" max="20" width="11.42578125" style="64" customWidth="1"/>
    <col min="21" max="23" width="8.5703125" style="64" customWidth="1"/>
    <col min="24" max="24" width="8.7109375" style="64" customWidth="1"/>
    <col min="25" max="25" width="8.7109375" style="64" hidden="1" customWidth="1"/>
    <col min="26" max="26" width="8.85546875" style="64" hidden="1" customWidth="1"/>
    <col min="27" max="27" width="9.7109375" style="64" customWidth="1"/>
    <col min="28" max="28" width="9" style="64" customWidth="1"/>
    <col min="29" max="29" width="9.42578125" style="64" customWidth="1"/>
    <col min="30" max="16384" width="9.140625" style="64"/>
  </cols>
  <sheetData>
    <row r="1" spans="1:34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AB1" s="22"/>
      <c r="AC1" s="3"/>
    </row>
    <row r="2" spans="1:34" ht="70.900000000000006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433"/>
      <c r="Y2" s="433"/>
      <c r="AB2" s="399" t="s">
        <v>512</v>
      </c>
      <c r="AC2" s="399"/>
    </row>
    <row r="3" spans="1:34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3"/>
    </row>
    <row r="4" spans="1:34">
      <c r="A4" s="442" t="s">
        <v>19</v>
      </c>
      <c r="B4" s="442"/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2"/>
      <c r="O4" s="442"/>
      <c r="P4" s="442"/>
      <c r="Q4" s="442"/>
      <c r="R4" s="442"/>
      <c r="S4" s="442"/>
      <c r="T4" s="442"/>
      <c r="U4" s="442"/>
      <c r="V4" s="442"/>
      <c r="W4" s="442"/>
      <c r="X4" s="442"/>
      <c r="Y4" s="442"/>
      <c r="Z4" s="442"/>
    </row>
    <row r="5" spans="1:34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spans="1:34" ht="12.75" customHeight="1">
      <c r="A6" s="441" t="s">
        <v>0</v>
      </c>
      <c r="B6" s="441" t="s">
        <v>20</v>
      </c>
      <c r="C6" s="441" t="s">
        <v>21</v>
      </c>
      <c r="D6" s="441" t="s">
        <v>22</v>
      </c>
      <c r="E6" s="441" t="s">
        <v>103</v>
      </c>
      <c r="F6" s="443" t="s">
        <v>23</v>
      </c>
      <c r="G6" s="434" t="s">
        <v>104</v>
      </c>
      <c r="H6" s="435"/>
      <c r="I6" s="435"/>
      <c r="J6" s="435"/>
      <c r="K6" s="435"/>
      <c r="L6" s="435"/>
      <c r="M6" s="435"/>
      <c r="N6" s="435"/>
      <c r="O6" s="435"/>
      <c r="P6" s="435"/>
      <c r="Q6" s="435"/>
      <c r="R6" s="435"/>
      <c r="S6" s="436"/>
      <c r="T6" s="441" t="s">
        <v>28</v>
      </c>
      <c r="U6" s="441" t="s">
        <v>167</v>
      </c>
      <c r="V6" s="441" t="s">
        <v>105</v>
      </c>
      <c r="W6" s="441" t="s">
        <v>106</v>
      </c>
      <c r="X6" s="441" t="s">
        <v>108</v>
      </c>
      <c r="Y6" s="446" t="s">
        <v>109</v>
      </c>
      <c r="Z6" s="447"/>
      <c r="AA6" s="437" t="s">
        <v>110</v>
      </c>
      <c r="AB6" s="437" t="s">
        <v>111</v>
      </c>
      <c r="AC6" s="437" t="s">
        <v>112</v>
      </c>
    </row>
    <row r="7" spans="1:34" ht="135.6" customHeight="1">
      <c r="A7" s="441"/>
      <c r="B7" s="441"/>
      <c r="C7" s="441"/>
      <c r="D7" s="441"/>
      <c r="E7" s="441"/>
      <c r="F7" s="443"/>
      <c r="G7" s="441" t="s">
        <v>85</v>
      </c>
      <c r="H7" s="441"/>
      <c r="I7" s="127" t="s">
        <v>25</v>
      </c>
      <c r="J7" s="441" t="s">
        <v>113</v>
      </c>
      <c r="K7" s="441"/>
      <c r="L7" s="444" t="s">
        <v>169</v>
      </c>
      <c r="M7" s="445"/>
      <c r="N7" s="444" t="s">
        <v>114</v>
      </c>
      <c r="O7" s="445"/>
      <c r="P7" s="441" t="s">
        <v>26</v>
      </c>
      <c r="Q7" s="441"/>
      <c r="R7" s="439" t="s">
        <v>115</v>
      </c>
      <c r="S7" s="440"/>
      <c r="T7" s="441"/>
      <c r="U7" s="441"/>
      <c r="V7" s="441"/>
      <c r="W7" s="441"/>
      <c r="X7" s="441"/>
      <c r="Y7" s="448"/>
      <c r="Z7" s="449"/>
      <c r="AA7" s="438"/>
      <c r="AB7" s="438"/>
      <c r="AC7" s="438"/>
    </row>
    <row r="8" spans="1:34">
      <c r="A8" s="441"/>
      <c r="B8" s="441"/>
      <c r="C8" s="441"/>
      <c r="D8" s="441"/>
      <c r="E8" s="441"/>
      <c r="F8" s="443"/>
      <c r="G8" s="125" t="s">
        <v>3</v>
      </c>
      <c r="H8" s="125" t="s">
        <v>29</v>
      </c>
      <c r="I8" s="125" t="s">
        <v>29</v>
      </c>
      <c r="J8" s="125" t="s">
        <v>3</v>
      </c>
      <c r="K8" s="125" t="s">
        <v>29</v>
      </c>
      <c r="L8" s="125" t="s">
        <v>3</v>
      </c>
      <c r="M8" s="125" t="s">
        <v>29</v>
      </c>
      <c r="N8" s="125" t="s">
        <v>3</v>
      </c>
      <c r="O8" s="125" t="s">
        <v>29</v>
      </c>
      <c r="P8" s="125" t="s">
        <v>3</v>
      </c>
      <c r="Q8" s="125" t="s">
        <v>29</v>
      </c>
      <c r="R8" s="125" t="s">
        <v>3</v>
      </c>
      <c r="S8" s="125" t="s">
        <v>29</v>
      </c>
      <c r="T8" s="125" t="s">
        <v>29</v>
      </c>
      <c r="U8" s="125" t="s">
        <v>29</v>
      </c>
      <c r="V8" s="125" t="s">
        <v>29</v>
      </c>
      <c r="W8" s="125" t="s">
        <v>29</v>
      </c>
      <c r="X8" s="125" t="s">
        <v>29</v>
      </c>
      <c r="Y8" s="125" t="s">
        <v>190</v>
      </c>
      <c r="Z8" s="125" t="s">
        <v>29</v>
      </c>
      <c r="AA8" s="125" t="s">
        <v>29</v>
      </c>
      <c r="AB8" s="125" t="s">
        <v>29</v>
      </c>
      <c r="AC8" s="125" t="s">
        <v>29</v>
      </c>
    </row>
    <row r="9" spans="1:34">
      <c r="A9" s="125">
        <v>1</v>
      </c>
      <c r="B9" s="125">
        <v>2</v>
      </c>
      <c r="C9" s="125">
        <v>3</v>
      </c>
      <c r="D9" s="125">
        <v>4</v>
      </c>
      <c r="E9" s="125">
        <v>5</v>
      </c>
      <c r="F9" s="125">
        <v>6</v>
      </c>
      <c r="G9" s="125">
        <v>7</v>
      </c>
      <c r="H9" s="125">
        <v>8</v>
      </c>
      <c r="I9" s="125">
        <v>9</v>
      </c>
      <c r="J9" s="125">
        <v>10</v>
      </c>
      <c r="K9" s="125">
        <v>11</v>
      </c>
      <c r="L9" s="125">
        <v>12</v>
      </c>
      <c r="M9" s="125">
        <v>13</v>
      </c>
      <c r="N9" s="125">
        <v>14</v>
      </c>
      <c r="O9" s="125">
        <v>15</v>
      </c>
      <c r="P9" s="125">
        <v>16</v>
      </c>
      <c r="Q9" s="125">
        <v>17</v>
      </c>
      <c r="R9" s="125">
        <v>18</v>
      </c>
      <c r="S9" s="125">
        <v>19</v>
      </c>
      <c r="T9" s="125">
        <v>20</v>
      </c>
      <c r="U9" s="125">
        <v>21</v>
      </c>
      <c r="V9" s="125">
        <v>22</v>
      </c>
      <c r="W9" s="125">
        <v>23</v>
      </c>
      <c r="X9" s="125">
        <v>24</v>
      </c>
      <c r="Y9" s="125">
        <v>25</v>
      </c>
      <c r="Z9" s="125">
        <v>26</v>
      </c>
      <c r="AA9" s="125"/>
      <c r="AB9" s="125">
        <v>28</v>
      </c>
      <c r="AC9" s="125">
        <v>29</v>
      </c>
    </row>
    <row r="10" spans="1:34">
      <c r="A10" s="434" t="s">
        <v>354</v>
      </c>
      <c r="B10" s="435"/>
      <c r="C10" s="435"/>
      <c r="D10" s="435"/>
      <c r="E10" s="435"/>
      <c r="F10" s="435"/>
      <c r="G10" s="435"/>
      <c r="H10" s="435"/>
      <c r="I10" s="435"/>
      <c r="J10" s="435"/>
      <c r="K10" s="435"/>
      <c r="L10" s="435"/>
      <c r="M10" s="435"/>
      <c r="N10" s="435"/>
      <c r="O10" s="435"/>
      <c r="P10" s="435"/>
      <c r="Q10" s="435"/>
      <c r="R10" s="435"/>
      <c r="S10" s="435"/>
      <c r="T10" s="435"/>
      <c r="U10" s="435"/>
      <c r="V10" s="435"/>
      <c r="W10" s="435"/>
      <c r="X10" s="435"/>
      <c r="Y10" s="435"/>
      <c r="Z10" s="435"/>
      <c r="AA10" s="435"/>
      <c r="AB10" s="435"/>
      <c r="AC10" s="436"/>
      <c r="AD10" s="86"/>
      <c r="AF10" s="86"/>
      <c r="AH10" s="86"/>
    </row>
    <row r="11" spans="1:34">
      <c r="A11" s="168">
        <v>1</v>
      </c>
      <c r="B11" s="166" t="s">
        <v>66</v>
      </c>
      <c r="C11" s="80">
        <v>2</v>
      </c>
      <c r="D11" s="85">
        <v>7040</v>
      </c>
      <c r="E11" s="71">
        <v>1</v>
      </c>
      <c r="F11" s="85">
        <f t="shared" ref="F11" si="0">D11*E11</f>
        <v>7040</v>
      </c>
      <c r="G11" s="68"/>
      <c r="H11" s="85">
        <f t="shared" ref="H11" si="1">F11*G11</f>
        <v>0</v>
      </c>
      <c r="I11" s="85"/>
      <c r="J11" s="83"/>
      <c r="K11" s="85"/>
      <c r="L11" s="83"/>
      <c r="M11" s="85"/>
      <c r="N11" s="69"/>
      <c r="O11" s="85">
        <f t="shared" ref="O11" si="2">F11*N11</f>
        <v>0</v>
      </c>
      <c r="P11" s="68"/>
      <c r="Q11" s="85">
        <v>2500</v>
      </c>
      <c r="R11" s="167">
        <v>0.25</v>
      </c>
      <c r="S11" s="85">
        <f t="shared" ref="S11" si="3">F11*R11</f>
        <v>1760</v>
      </c>
      <c r="T11" s="85">
        <f t="shared" ref="T11" si="4">F11+H11+I11+K11+Q11+O11+S11+M11</f>
        <v>11300</v>
      </c>
      <c r="U11" s="85">
        <f t="shared" ref="U11" si="5">T11*C11</f>
        <v>22600</v>
      </c>
      <c r="V11" s="85">
        <f>(((U11+(U11*14.0135/12/12)))*3/3/29.6)*28</f>
        <v>23458.836054804808</v>
      </c>
      <c r="W11" s="85">
        <f t="shared" ref="W11" si="6">U11*2</f>
        <v>45200</v>
      </c>
      <c r="X11" s="85">
        <f t="shared" ref="X11" si="7">(U11*14.0135)/12</f>
        <v>26392.091666666671</v>
      </c>
      <c r="Y11" s="85"/>
      <c r="Z11" s="85"/>
      <c r="AA11" s="85">
        <f>(U11*7)+V11+W11+X11</f>
        <v>253250.92772147147</v>
      </c>
      <c r="AB11" s="85">
        <f>((U11*7)+V11+X11)*0.1725</f>
        <v>35888.785031953827</v>
      </c>
      <c r="AC11" s="85">
        <f t="shared" ref="AC11" si="8">AA11+AB11</f>
        <v>289139.71275342529</v>
      </c>
      <c r="AD11" s="86"/>
    </row>
    <row r="12" spans="1:34">
      <c r="A12" s="125"/>
      <c r="B12" s="125" t="s">
        <v>31</v>
      </c>
      <c r="C12" s="83">
        <f>SUM(C11:C11)</f>
        <v>2</v>
      </c>
      <c r="D12" s="83">
        <f>SUM(D11:D11)</f>
        <v>7040</v>
      </c>
      <c r="E12" s="128"/>
      <c r="F12" s="83">
        <f>SUM(F11:F11)</f>
        <v>7040</v>
      </c>
      <c r="G12" s="83"/>
      <c r="H12" s="83">
        <f>SUM(H11:H11)</f>
        <v>0</v>
      </c>
      <c r="I12" s="83">
        <f>SUM(I11:I11)</f>
        <v>0</v>
      </c>
      <c r="J12" s="83"/>
      <c r="K12" s="83">
        <f>SUM(K11:K11)</f>
        <v>0</v>
      </c>
      <c r="L12" s="83"/>
      <c r="M12" s="132"/>
      <c r="N12" s="83"/>
      <c r="O12" s="83">
        <f>SUM(O11:O11)</f>
        <v>0</v>
      </c>
      <c r="P12" s="83"/>
      <c r="Q12" s="83">
        <f t="shared" ref="Q12:AC12" si="9">SUM(Q11:Q11)</f>
        <v>2500</v>
      </c>
      <c r="R12" s="83">
        <f t="shared" si="9"/>
        <v>0.25</v>
      </c>
      <c r="S12" s="83">
        <f t="shared" si="9"/>
        <v>1760</v>
      </c>
      <c r="T12" s="132">
        <f t="shared" si="9"/>
        <v>11300</v>
      </c>
      <c r="U12" s="132">
        <f t="shared" si="9"/>
        <v>22600</v>
      </c>
      <c r="V12" s="132">
        <f t="shared" si="9"/>
        <v>23458.836054804808</v>
      </c>
      <c r="W12" s="132">
        <f t="shared" si="9"/>
        <v>45200</v>
      </c>
      <c r="X12" s="132">
        <f t="shared" si="9"/>
        <v>26392.091666666671</v>
      </c>
      <c r="Y12" s="132">
        <f t="shared" si="9"/>
        <v>0</v>
      </c>
      <c r="Z12" s="132">
        <f t="shared" si="9"/>
        <v>0</v>
      </c>
      <c r="AA12" s="132">
        <f t="shared" si="9"/>
        <v>253250.92772147147</v>
      </c>
      <c r="AB12" s="132">
        <f t="shared" si="9"/>
        <v>35888.785031953827</v>
      </c>
      <c r="AC12" s="132">
        <f t="shared" si="9"/>
        <v>289139.71275342529</v>
      </c>
      <c r="AD12" s="86"/>
    </row>
    <row r="13" spans="1:34">
      <c r="A13" s="434" t="s">
        <v>355</v>
      </c>
      <c r="B13" s="435"/>
      <c r="C13" s="435"/>
      <c r="D13" s="435"/>
      <c r="E13" s="435"/>
      <c r="F13" s="435"/>
      <c r="G13" s="435"/>
      <c r="H13" s="435"/>
      <c r="I13" s="435"/>
      <c r="J13" s="435"/>
      <c r="K13" s="435"/>
      <c r="L13" s="435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6"/>
      <c r="AD13" s="86"/>
      <c r="AF13" s="86"/>
      <c r="AH13" s="86"/>
    </row>
    <row r="14" spans="1:34">
      <c r="A14" s="168">
        <v>1</v>
      </c>
      <c r="B14" s="166" t="s">
        <v>66</v>
      </c>
      <c r="C14" s="80">
        <v>2</v>
      </c>
      <c r="D14" s="85">
        <v>7040</v>
      </c>
      <c r="E14" s="71">
        <v>1.2</v>
      </c>
      <c r="F14" s="85">
        <f t="shared" ref="F14" si="10">D14*E14</f>
        <v>8448</v>
      </c>
      <c r="G14" s="68"/>
      <c r="H14" s="85">
        <f t="shared" ref="H14" si="11">F14*G14</f>
        <v>0</v>
      </c>
      <c r="I14" s="85"/>
      <c r="J14" s="83"/>
      <c r="K14" s="85"/>
      <c r="L14" s="83"/>
      <c r="M14" s="85"/>
      <c r="N14" s="69"/>
      <c r="O14" s="85">
        <f t="shared" ref="O14" si="12">F14*N14</f>
        <v>0</v>
      </c>
      <c r="P14" s="68"/>
      <c r="Q14" s="85">
        <v>2500</v>
      </c>
      <c r="R14" s="167">
        <v>0.25</v>
      </c>
      <c r="S14" s="85">
        <f t="shared" ref="S14" si="13">F14*R14</f>
        <v>2112</v>
      </c>
      <c r="T14" s="85">
        <f t="shared" ref="T14" si="14">F14+H14+I14+K14+Q14+O14+S14+M14</f>
        <v>13060</v>
      </c>
      <c r="U14" s="85">
        <f t="shared" ref="U14" si="15">T14*C14</f>
        <v>26120</v>
      </c>
      <c r="V14" s="85">
        <f>(((U14+(U14*14.0135/12/12)))*3/3/29.6)*28</f>
        <v>27112.601670420419</v>
      </c>
      <c r="W14" s="85">
        <f t="shared" ref="W14" si="16">U14*2</f>
        <v>52240</v>
      </c>
      <c r="X14" s="85">
        <f t="shared" ref="X14" si="17">(U14*14.0135)/12</f>
        <v>30502.718333333334</v>
      </c>
      <c r="Y14" s="85"/>
      <c r="Z14" s="85"/>
      <c r="AA14" s="85">
        <f>(U14*7)+V14+W14+X14</f>
        <v>292695.3200037537</v>
      </c>
      <c r="AB14" s="85">
        <f>((U14*7)+V14+X14)*0.1725</f>
        <v>41478.542700647515</v>
      </c>
      <c r="AC14" s="85">
        <f t="shared" ref="AC14" si="18">AA14+AB14</f>
        <v>334173.8627044012</v>
      </c>
      <c r="AD14" s="86"/>
    </row>
    <row r="15" spans="1:34">
      <c r="A15" s="125"/>
      <c r="B15" s="125" t="s">
        <v>31</v>
      </c>
      <c r="C15" s="83">
        <f>SUM(C14:C14)</f>
        <v>2</v>
      </c>
      <c r="D15" s="83">
        <f>SUM(D14:D14)</f>
        <v>7040</v>
      </c>
      <c r="E15" s="128"/>
      <c r="F15" s="83">
        <f>SUM(F14:F14)</f>
        <v>8448</v>
      </c>
      <c r="G15" s="83"/>
      <c r="H15" s="83">
        <f>SUM(H14:H14)</f>
        <v>0</v>
      </c>
      <c r="I15" s="83">
        <f>SUM(I14:I14)</f>
        <v>0</v>
      </c>
      <c r="J15" s="83"/>
      <c r="K15" s="83">
        <f>SUM(K14:K14)</f>
        <v>0</v>
      </c>
      <c r="L15" s="83"/>
      <c r="M15" s="132"/>
      <c r="N15" s="83"/>
      <c r="O15" s="83">
        <f>SUM(O14:O14)</f>
        <v>0</v>
      </c>
      <c r="P15" s="83"/>
      <c r="Q15" s="83">
        <f t="shared" ref="Q15:AC15" si="19">SUM(Q14:Q14)</f>
        <v>2500</v>
      </c>
      <c r="R15" s="83">
        <f t="shared" si="19"/>
        <v>0.25</v>
      </c>
      <c r="S15" s="83">
        <f t="shared" si="19"/>
        <v>2112</v>
      </c>
      <c r="T15" s="132">
        <f t="shared" si="19"/>
        <v>13060</v>
      </c>
      <c r="U15" s="132">
        <f t="shared" si="19"/>
        <v>26120</v>
      </c>
      <c r="V15" s="132">
        <f t="shared" si="19"/>
        <v>27112.601670420419</v>
      </c>
      <c r="W15" s="132">
        <f t="shared" si="19"/>
        <v>52240</v>
      </c>
      <c r="X15" s="132">
        <f t="shared" si="19"/>
        <v>30502.718333333334</v>
      </c>
      <c r="Y15" s="132">
        <f t="shared" si="19"/>
        <v>0</v>
      </c>
      <c r="Z15" s="132">
        <f t="shared" si="19"/>
        <v>0</v>
      </c>
      <c r="AA15" s="132">
        <f t="shared" si="19"/>
        <v>292695.3200037537</v>
      </c>
      <c r="AB15" s="132">
        <f t="shared" si="19"/>
        <v>41478.542700647515</v>
      </c>
      <c r="AC15" s="132">
        <f t="shared" si="19"/>
        <v>334173.8627044012</v>
      </c>
      <c r="AD15" s="86"/>
    </row>
    <row r="16" spans="1:34">
      <c r="T16" s="116"/>
      <c r="U16" s="116"/>
      <c r="V16" s="116"/>
      <c r="W16" s="116"/>
      <c r="X16" s="116"/>
      <c r="Y16" s="116"/>
      <c r="Z16" s="116"/>
      <c r="AA16" s="116"/>
      <c r="AB16" s="116"/>
      <c r="AC16" s="116"/>
    </row>
    <row r="17" spans="2:28">
      <c r="B17" s="2"/>
      <c r="AA17" s="122"/>
      <c r="AB17" s="122"/>
    </row>
    <row r="18" spans="2:28">
      <c r="AA18" s="162"/>
      <c r="AB18" s="162"/>
    </row>
    <row r="19" spans="2:28">
      <c r="B19" s="364" t="s">
        <v>513</v>
      </c>
      <c r="C19" s="364"/>
      <c r="D19" s="364"/>
      <c r="E19" s="364"/>
      <c r="F19" s="364"/>
      <c r="G19" s="364"/>
      <c r="H19" s="364"/>
      <c r="I19" s="364"/>
      <c r="J19" s="364"/>
      <c r="K19" s="364"/>
      <c r="L19" s="364"/>
      <c r="M19" s="364"/>
      <c r="N19" s="364"/>
      <c r="O19" s="364"/>
      <c r="P19" s="364"/>
      <c r="Q19" s="364"/>
      <c r="AA19" s="122"/>
      <c r="AB19" s="122"/>
    </row>
    <row r="20" spans="2:28">
      <c r="AA20" s="122"/>
    </row>
    <row r="21" spans="2:28">
      <c r="AA21" s="122"/>
      <c r="AB21" s="122"/>
    </row>
  </sheetData>
  <mergeCells count="27">
    <mergeCell ref="J7:K7"/>
    <mergeCell ref="L7:M7"/>
    <mergeCell ref="N7:O7"/>
    <mergeCell ref="P7:Q7"/>
    <mergeCell ref="Y6:Z7"/>
    <mergeCell ref="B6:B8"/>
    <mergeCell ref="C6:C8"/>
    <mergeCell ref="D6:D8"/>
    <mergeCell ref="E6:E8"/>
    <mergeCell ref="G7:H7"/>
    <mergeCell ref="F6:F8"/>
    <mergeCell ref="AB2:AC2"/>
    <mergeCell ref="X2:Y2"/>
    <mergeCell ref="A10:AC10"/>
    <mergeCell ref="A13:AC13"/>
    <mergeCell ref="AB6:AB7"/>
    <mergeCell ref="AC6:AC7"/>
    <mergeCell ref="R7:S7"/>
    <mergeCell ref="AA6:AA7"/>
    <mergeCell ref="T6:T7"/>
    <mergeCell ref="U6:U7"/>
    <mergeCell ref="V6:V7"/>
    <mergeCell ref="W6:W7"/>
    <mergeCell ref="X6:X7"/>
    <mergeCell ref="G6:S6"/>
    <mergeCell ref="A4:Z4"/>
    <mergeCell ref="A6:A8"/>
  </mergeCells>
  <pageMargins left="0" right="0" top="0.74803149606299213" bottom="0.74803149606299213" header="0.31496062992125984" footer="0.31496062992125984"/>
  <pageSetup paperSize="9" scale="8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  <pageSetUpPr fitToPage="1"/>
  </sheetPr>
  <dimension ref="A1:AA23"/>
  <sheetViews>
    <sheetView view="pageBreakPreview" zoomScale="85" zoomScaleNormal="85" zoomScaleSheetLayoutView="85" workbookViewId="0">
      <selection activeCell="V19" sqref="V19"/>
    </sheetView>
  </sheetViews>
  <sheetFormatPr defaultColWidth="9.140625" defaultRowHeight="12.75"/>
  <cols>
    <col min="1" max="1" width="3.42578125" style="64" bestFit="1" customWidth="1"/>
    <col min="2" max="2" width="27.28515625" style="64" customWidth="1"/>
    <col min="3" max="3" width="6.5703125" style="64" customWidth="1"/>
    <col min="4" max="4" width="7.28515625" style="64" customWidth="1"/>
    <col min="5" max="5" width="6.5703125" style="64" customWidth="1"/>
    <col min="6" max="6" width="8" style="64" customWidth="1"/>
    <col min="7" max="7" width="6.7109375" style="64" customWidth="1"/>
    <col min="8" max="8" width="8.7109375" style="64" customWidth="1"/>
    <col min="9" max="9" width="7.140625" style="64" hidden="1" customWidth="1"/>
    <col min="10" max="11" width="9.28515625" style="64" hidden="1" customWidth="1"/>
    <col min="12" max="12" width="7.7109375" style="64" hidden="1" customWidth="1"/>
    <col min="13" max="13" width="9.28515625" style="64" hidden="1" customWidth="1"/>
    <col min="14" max="14" width="6.28515625" style="64" hidden="1" customWidth="1"/>
    <col min="15" max="15" width="7.140625" style="64" hidden="1" customWidth="1"/>
    <col min="16" max="16" width="6.28515625" style="64" customWidth="1"/>
    <col min="17" max="17" width="7.140625" style="64" customWidth="1"/>
    <col min="18" max="20" width="8.28515625" style="64" customWidth="1"/>
    <col min="21" max="21" width="9.7109375" style="64" customWidth="1"/>
    <col min="22" max="22" width="8.28515625" style="64" customWidth="1"/>
    <col min="23" max="24" width="8.28515625" style="64" hidden="1" customWidth="1"/>
    <col min="25" max="25" width="9.42578125" style="64" customWidth="1"/>
    <col min="26" max="26" width="8.28515625" style="64" customWidth="1"/>
    <col min="27" max="27" width="9.28515625" style="64" customWidth="1"/>
    <col min="28" max="16384" width="9.140625" style="64"/>
  </cols>
  <sheetData>
    <row r="1" spans="1:27" ht="73.150000000000006" customHeight="1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Z1" s="399" t="s">
        <v>514</v>
      </c>
      <c r="AA1" s="399"/>
    </row>
    <row r="2" spans="1:27" ht="13.1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3"/>
    </row>
    <row r="3" spans="1:27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3"/>
    </row>
    <row r="4" spans="1:27" ht="13.15" customHeight="1">
      <c r="A4" s="442" t="s">
        <v>122</v>
      </c>
      <c r="B4" s="442"/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2"/>
      <c r="O4" s="442"/>
      <c r="P4" s="442"/>
      <c r="Q4" s="442"/>
      <c r="R4" s="442"/>
      <c r="S4" s="442"/>
      <c r="T4" s="442"/>
      <c r="U4" s="442"/>
      <c r="V4" s="442"/>
      <c r="W4" s="442"/>
      <c r="X4" s="442"/>
      <c r="Y4" s="442"/>
      <c r="Z4" s="442"/>
      <c r="AA4" s="442"/>
    </row>
    <row r="5" spans="1:27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</row>
    <row r="6" spans="1:27" ht="33" customHeight="1">
      <c r="A6" s="441" t="s">
        <v>0</v>
      </c>
      <c r="B6" s="441" t="s">
        <v>20</v>
      </c>
      <c r="C6" s="441" t="s">
        <v>21</v>
      </c>
      <c r="D6" s="441" t="s">
        <v>22</v>
      </c>
      <c r="E6" s="441" t="s">
        <v>103</v>
      </c>
      <c r="F6" s="443" t="s">
        <v>23</v>
      </c>
      <c r="G6" s="434" t="s">
        <v>104</v>
      </c>
      <c r="H6" s="435"/>
      <c r="I6" s="435"/>
      <c r="J6" s="435"/>
      <c r="K6" s="435"/>
      <c r="L6" s="435"/>
      <c r="M6" s="435"/>
      <c r="N6" s="435"/>
      <c r="O6" s="435"/>
      <c r="P6" s="435"/>
      <c r="Q6" s="436"/>
      <c r="R6" s="441" t="s">
        <v>28</v>
      </c>
      <c r="S6" s="441" t="s">
        <v>166</v>
      </c>
      <c r="T6" s="441" t="s">
        <v>105</v>
      </c>
      <c r="U6" s="441" t="s">
        <v>106</v>
      </c>
      <c r="V6" s="441" t="s">
        <v>108</v>
      </c>
      <c r="W6" s="446" t="s">
        <v>109</v>
      </c>
      <c r="X6" s="447"/>
      <c r="Y6" s="437" t="s">
        <v>110</v>
      </c>
      <c r="Z6" s="437" t="s">
        <v>111</v>
      </c>
      <c r="AA6" s="437" t="s">
        <v>112</v>
      </c>
    </row>
    <row r="7" spans="1:27" ht="98.45" customHeight="1">
      <c r="A7" s="441"/>
      <c r="B7" s="441"/>
      <c r="C7" s="441"/>
      <c r="D7" s="441"/>
      <c r="E7" s="441"/>
      <c r="F7" s="443"/>
      <c r="G7" s="441" t="s">
        <v>85</v>
      </c>
      <c r="H7" s="441"/>
      <c r="I7" s="127" t="s">
        <v>25</v>
      </c>
      <c r="J7" s="441" t="s">
        <v>24</v>
      </c>
      <c r="K7" s="441"/>
      <c r="L7" s="444" t="s">
        <v>114</v>
      </c>
      <c r="M7" s="445"/>
      <c r="N7" s="441" t="s">
        <v>26</v>
      </c>
      <c r="O7" s="441"/>
      <c r="P7" s="439" t="s">
        <v>115</v>
      </c>
      <c r="Q7" s="440"/>
      <c r="R7" s="441"/>
      <c r="S7" s="441"/>
      <c r="T7" s="441"/>
      <c r="U7" s="441"/>
      <c r="V7" s="441"/>
      <c r="W7" s="448"/>
      <c r="X7" s="449"/>
      <c r="Y7" s="438"/>
      <c r="Z7" s="438"/>
      <c r="AA7" s="438"/>
    </row>
    <row r="8" spans="1:27">
      <c r="A8" s="441"/>
      <c r="B8" s="441"/>
      <c r="C8" s="441"/>
      <c r="D8" s="441"/>
      <c r="E8" s="441"/>
      <c r="F8" s="443"/>
      <c r="G8" s="125" t="s">
        <v>3</v>
      </c>
      <c r="H8" s="125" t="s">
        <v>29</v>
      </c>
      <c r="I8" s="125" t="s">
        <v>29</v>
      </c>
      <c r="J8" s="125" t="s">
        <v>3</v>
      </c>
      <c r="K8" s="125" t="s">
        <v>29</v>
      </c>
      <c r="L8" s="125" t="s">
        <v>3</v>
      </c>
      <c r="M8" s="125" t="s">
        <v>29</v>
      </c>
      <c r="N8" s="125" t="s">
        <v>3</v>
      </c>
      <c r="O8" s="125" t="s">
        <v>29</v>
      </c>
      <c r="P8" s="125" t="s">
        <v>3</v>
      </c>
      <c r="Q8" s="125" t="s">
        <v>29</v>
      </c>
      <c r="R8" s="125" t="s">
        <v>29</v>
      </c>
      <c r="S8" s="125" t="s">
        <v>29</v>
      </c>
      <c r="T8" s="125" t="s">
        <v>29</v>
      </c>
      <c r="U8" s="125" t="s">
        <v>29</v>
      </c>
      <c r="V8" s="125" t="s">
        <v>29</v>
      </c>
      <c r="W8" s="125" t="s">
        <v>190</v>
      </c>
      <c r="X8" s="125" t="s">
        <v>29</v>
      </c>
      <c r="Y8" s="125" t="s">
        <v>29</v>
      </c>
      <c r="Z8" s="125" t="s">
        <v>29</v>
      </c>
      <c r="AA8" s="125" t="s">
        <v>29</v>
      </c>
    </row>
    <row r="9" spans="1:27">
      <c r="A9" s="125">
        <v>1</v>
      </c>
      <c r="B9" s="125">
        <v>2</v>
      </c>
      <c r="C9" s="125">
        <v>3</v>
      </c>
      <c r="D9" s="125">
        <v>4</v>
      </c>
      <c r="E9" s="125">
        <v>5</v>
      </c>
      <c r="F9" s="125">
        <v>6</v>
      </c>
      <c r="G9" s="125">
        <v>7</v>
      </c>
      <c r="H9" s="125">
        <v>8</v>
      </c>
      <c r="I9" s="125">
        <v>9</v>
      </c>
      <c r="J9" s="125">
        <v>10</v>
      </c>
      <c r="K9" s="125">
        <v>11</v>
      </c>
      <c r="L9" s="125">
        <v>10</v>
      </c>
      <c r="M9" s="125">
        <v>11</v>
      </c>
      <c r="N9" s="125">
        <v>12</v>
      </c>
      <c r="O9" s="125">
        <v>13</v>
      </c>
      <c r="P9" s="125">
        <v>14</v>
      </c>
      <c r="Q9" s="125">
        <v>15</v>
      </c>
      <c r="R9" s="125">
        <v>16</v>
      </c>
      <c r="S9" s="125">
        <v>17</v>
      </c>
      <c r="T9" s="125">
        <v>18</v>
      </c>
      <c r="U9" s="125">
        <v>19</v>
      </c>
      <c r="V9" s="125">
        <v>20</v>
      </c>
      <c r="W9" s="125">
        <v>21</v>
      </c>
      <c r="X9" s="125">
        <v>22</v>
      </c>
      <c r="Y9" s="125">
        <v>23</v>
      </c>
      <c r="Z9" s="125">
        <v>24</v>
      </c>
      <c r="AA9" s="125"/>
    </row>
    <row r="10" spans="1:27">
      <c r="A10" s="434" t="s">
        <v>354</v>
      </c>
      <c r="B10" s="435"/>
      <c r="C10" s="435"/>
      <c r="D10" s="435"/>
      <c r="E10" s="435"/>
      <c r="F10" s="435"/>
      <c r="G10" s="435"/>
      <c r="H10" s="435"/>
      <c r="I10" s="435"/>
      <c r="J10" s="435"/>
      <c r="K10" s="435"/>
      <c r="L10" s="435"/>
      <c r="M10" s="435"/>
      <c r="N10" s="435"/>
      <c r="O10" s="435"/>
      <c r="P10" s="435"/>
      <c r="Q10" s="435"/>
      <c r="R10" s="435"/>
      <c r="S10" s="435"/>
      <c r="T10" s="435"/>
      <c r="U10" s="435"/>
      <c r="V10" s="435"/>
      <c r="W10" s="435"/>
      <c r="X10" s="435"/>
      <c r="Y10" s="435"/>
      <c r="Z10" s="435"/>
      <c r="AA10" s="436"/>
    </row>
    <row r="11" spans="1:27">
      <c r="A11" s="78">
        <v>1</v>
      </c>
      <c r="B11" s="15" t="s">
        <v>66</v>
      </c>
      <c r="C11" s="79">
        <v>2.5</v>
      </c>
      <c r="D11" s="85">
        <v>7040</v>
      </c>
      <c r="E11" s="131">
        <v>1</v>
      </c>
      <c r="F11" s="85">
        <f>D11*E11</f>
        <v>7040</v>
      </c>
      <c r="G11" s="79"/>
      <c r="H11" s="85"/>
      <c r="I11" s="85"/>
      <c r="J11" s="79"/>
      <c r="K11" s="79"/>
      <c r="L11" s="73"/>
      <c r="M11" s="85">
        <f>F11*L11</f>
        <v>0</v>
      </c>
      <c r="N11" s="73"/>
      <c r="O11" s="85"/>
      <c r="P11" s="73">
        <v>0.25</v>
      </c>
      <c r="Q11" s="79">
        <f>F11*P11</f>
        <v>1760</v>
      </c>
      <c r="R11" s="85">
        <f>F11+H11+I11+K11+O11+M11+Q11</f>
        <v>8800</v>
      </c>
      <c r="S11" s="85">
        <f>R11*C11</f>
        <v>22000</v>
      </c>
      <c r="T11" s="85">
        <f>(((S11+(S11*14.0135/12/12)))*3/3/29.6)*28</f>
        <v>22836.035097597596</v>
      </c>
      <c r="U11" s="85">
        <f t="shared" ref="U11" si="0">S11*2</f>
        <v>44000</v>
      </c>
      <c r="V11" s="85">
        <f t="shared" ref="V11" si="1">(S11*14.0135)/12</f>
        <v>25691.416666666668</v>
      </c>
      <c r="W11" s="85"/>
      <c r="X11" s="85"/>
      <c r="Y11" s="85">
        <f>(S11*7)+T11+U11+V11</f>
        <v>246527.45176426426</v>
      </c>
      <c r="Z11" s="85">
        <f>((S11*7)+T11+V11)*0.1725</f>
        <v>34935.985429335582</v>
      </c>
      <c r="AA11" s="85">
        <f>Y11+Z11</f>
        <v>281463.43719359982</v>
      </c>
    </row>
    <row r="12" spans="1:27">
      <c r="A12" s="125"/>
      <c r="B12" s="125" t="s">
        <v>31</v>
      </c>
      <c r="C12" s="82">
        <f>C11</f>
        <v>2.5</v>
      </c>
      <c r="D12" s="132">
        <f>D11</f>
        <v>7040</v>
      </c>
      <c r="E12" s="132"/>
      <c r="F12" s="132">
        <f t="shared" ref="F12:AA12" si="2">F11</f>
        <v>7040</v>
      </c>
      <c r="G12" s="132"/>
      <c r="H12" s="132">
        <f t="shared" si="2"/>
        <v>0</v>
      </c>
      <c r="I12" s="132">
        <f t="shared" si="2"/>
        <v>0</v>
      </c>
      <c r="J12" s="132">
        <f t="shared" si="2"/>
        <v>0</v>
      </c>
      <c r="K12" s="132">
        <f t="shared" si="2"/>
        <v>0</v>
      </c>
      <c r="L12" s="132"/>
      <c r="M12" s="132">
        <f t="shared" si="2"/>
        <v>0</v>
      </c>
      <c r="N12" s="132"/>
      <c r="O12" s="132">
        <f t="shared" si="2"/>
        <v>0</v>
      </c>
      <c r="P12" s="132">
        <f t="shared" si="2"/>
        <v>0.25</v>
      </c>
      <c r="Q12" s="132">
        <f t="shared" si="2"/>
        <v>1760</v>
      </c>
      <c r="R12" s="132">
        <f t="shared" si="2"/>
        <v>8800</v>
      </c>
      <c r="S12" s="132">
        <f t="shared" si="2"/>
        <v>22000</v>
      </c>
      <c r="T12" s="132">
        <f t="shared" si="2"/>
        <v>22836.035097597596</v>
      </c>
      <c r="U12" s="132">
        <f t="shared" si="2"/>
        <v>44000</v>
      </c>
      <c r="V12" s="132">
        <f t="shared" si="2"/>
        <v>25691.416666666668</v>
      </c>
      <c r="W12" s="132">
        <f t="shared" si="2"/>
        <v>0</v>
      </c>
      <c r="X12" s="132">
        <f t="shared" si="2"/>
        <v>0</v>
      </c>
      <c r="Y12" s="132">
        <f t="shared" si="2"/>
        <v>246527.45176426426</v>
      </c>
      <c r="Z12" s="132">
        <f t="shared" si="2"/>
        <v>34935.985429335582</v>
      </c>
      <c r="AA12" s="132">
        <f t="shared" si="2"/>
        <v>281463.43719359982</v>
      </c>
    </row>
    <row r="13" spans="1:27">
      <c r="A13" s="434" t="s">
        <v>355</v>
      </c>
      <c r="B13" s="435"/>
      <c r="C13" s="435"/>
      <c r="D13" s="435"/>
      <c r="E13" s="435"/>
      <c r="F13" s="435"/>
      <c r="G13" s="435"/>
      <c r="H13" s="435"/>
      <c r="I13" s="435"/>
      <c r="J13" s="435"/>
      <c r="K13" s="435"/>
      <c r="L13" s="435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6"/>
    </row>
    <row r="14" spans="1:27">
      <c r="A14" s="78">
        <v>1</v>
      </c>
      <c r="B14" s="15" t="s">
        <v>66</v>
      </c>
      <c r="C14" s="79">
        <v>2.5</v>
      </c>
      <c r="D14" s="85">
        <v>7040</v>
      </c>
      <c r="E14" s="131">
        <v>1.2</v>
      </c>
      <c r="F14" s="85">
        <f>D14*E14</f>
        <v>8448</v>
      </c>
      <c r="G14" s="79"/>
      <c r="H14" s="85"/>
      <c r="I14" s="85"/>
      <c r="J14" s="79"/>
      <c r="K14" s="79"/>
      <c r="L14" s="73"/>
      <c r="M14" s="85">
        <f>F14*L14</f>
        <v>0</v>
      </c>
      <c r="N14" s="73"/>
      <c r="O14" s="85"/>
      <c r="P14" s="73">
        <v>0.25</v>
      </c>
      <c r="Q14" s="79">
        <f>F14*P14</f>
        <v>2112</v>
      </c>
      <c r="R14" s="85">
        <f>F14+H14+I14+K14+O14+M14+Q14</f>
        <v>10560</v>
      </c>
      <c r="S14" s="85">
        <f>R14*C14</f>
        <v>26400</v>
      </c>
      <c r="T14" s="85">
        <f>(((S14+(S14*14.0135/12/12)))*3/3/29.6)*28</f>
        <v>27403.242117117115</v>
      </c>
      <c r="U14" s="85">
        <f t="shared" ref="U14" si="3">S14*2</f>
        <v>52800</v>
      </c>
      <c r="V14" s="85">
        <f t="shared" ref="V14" si="4">(S14*14.0135)/12</f>
        <v>30829.7</v>
      </c>
      <c r="W14" s="85"/>
      <c r="X14" s="85"/>
      <c r="Y14" s="85">
        <f>(S14*7)+T14+U14+V14</f>
        <v>295832.94211711711</v>
      </c>
      <c r="Z14" s="85">
        <f>((S14*7)+T14+V14)*0.1725</f>
        <v>41923.182515202701</v>
      </c>
      <c r="AA14" s="85">
        <f>Y14+Z14</f>
        <v>337756.12463231978</v>
      </c>
    </row>
    <row r="15" spans="1:27">
      <c r="A15" s="125"/>
      <c r="B15" s="125" t="s">
        <v>31</v>
      </c>
      <c r="C15" s="82">
        <f>C14</f>
        <v>2.5</v>
      </c>
      <c r="D15" s="132">
        <f>D14</f>
        <v>7040</v>
      </c>
      <c r="E15" s="132"/>
      <c r="F15" s="132">
        <f t="shared" ref="F15" si="5">F14</f>
        <v>8448</v>
      </c>
      <c r="G15" s="132"/>
      <c r="H15" s="132">
        <f t="shared" ref="H15:K15" si="6">H14</f>
        <v>0</v>
      </c>
      <c r="I15" s="132">
        <f t="shared" si="6"/>
        <v>0</v>
      </c>
      <c r="J15" s="132">
        <f t="shared" si="6"/>
        <v>0</v>
      </c>
      <c r="K15" s="132">
        <f t="shared" si="6"/>
        <v>0</v>
      </c>
      <c r="L15" s="132"/>
      <c r="M15" s="132">
        <f t="shared" ref="M15" si="7">M14</f>
        <v>0</v>
      </c>
      <c r="N15" s="132"/>
      <c r="O15" s="132">
        <f t="shared" ref="O15:AA15" si="8">O14</f>
        <v>0</v>
      </c>
      <c r="P15" s="132">
        <f t="shared" si="8"/>
        <v>0.25</v>
      </c>
      <c r="Q15" s="132">
        <f t="shared" si="8"/>
        <v>2112</v>
      </c>
      <c r="R15" s="132">
        <f t="shared" si="8"/>
        <v>10560</v>
      </c>
      <c r="S15" s="132">
        <f t="shared" si="8"/>
        <v>26400</v>
      </c>
      <c r="T15" s="132">
        <f t="shared" si="8"/>
        <v>27403.242117117115</v>
      </c>
      <c r="U15" s="132">
        <f t="shared" si="8"/>
        <v>52800</v>
      </c>
      <c r="V15" s="132">
        <f t="shared" si="8"/>
        <v>30829.7</v>
      </c>
      <c r="W15" s="132">
        <f t="shared" si="8"/>
        <v>0</v>
      </c>
      <c r="X15" s="132">
        <f t="shared" si="8"/>
        <v>0</v>
      </c>
      <c r="Y15" s="132">
        <f t="shared" si="8"/>
        <v>295832.94211711711</v>
      </c>
      <c r="Z15" s="132">
        <f t="shared" si="8"/>
        <v>41923.182515202701</v>
      </c>
      <c r="AA15" s="132">
        <f t="shared" si="8"/>
        <v>337756.12463231978</v>
      </c>
    </row>
    <row r="16" spans="1:27">
      <c r="Y16" s="122"/>
    </row>
    <row r="22" spans="2:21">
      <c r="B22" s="451" t="s">
        <v>513</v>
      </c>
      <c r="C22" s="451"/>
      <c r="D22" s="451"/>
      <c r="E22" s="451"/>
      <c r="F22" s="451"/>
      <c r="G22" s="451"/>
      <c r="H22" s="451"/>
      <c r="I22" s="451"/>
      <c r="J22" s="451"/>
      <c r="K22" s="451"/>
      <c r="L22" s="451"/>
      <c r="M22" s="451"/>
      <c r="N22" s="451"/>
      <c r="O22" s="451"/>
      <c r="P22" s="451"/>
      <c r="Q22" s="451"/>
      <c r="R22" s="451"/>
      <c r="S22" s="451"/>
      <c r="T22" s="451"/>
      <c r="U22" s="451"/>
    </row>
    <row r="23" spans="2:21">
      <c r="B23" s="450"/>
      <c r="C23" s="450"/>
      <c r="D23" s="450"/>
      <c r="E23" s="450"/>
      <c r="F23" s="450"/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50"/>
      <c r="R23" s="450"/>
      <c r="S23" s="450"/>
      <c r="T23" s="450"/>
      <c r="U23" s="450"/>
    </row>
  </sheetData>
  <mergeCells count="27">
    <mergeCell ref="B23:U23"/>
    <mergeCell ref="B22:U22"/>
    <mergeCell ref="Z1:AA1"/>
    <mergeCell ref="A4:AA4"/>
    <mergeCell ref="A6:A8"/>
    <mergeCell ref="B6:B8"/>
    <mergeCell ref="C6:C8"/>
    <mergeCell ref="D6:D8"/>
    <mergeCell ref="E6:E8"/>
    <mergeCell ref="F6:F8"/>
    <mergeCell ref="G6:Q6"/>
    <mergeCell ref="R6:R7"/>
    <mergeCell ref="S6:S7"/>
    <mergeCell ref="T6:T7"/>
    <mergeCell ref="U6:U7"/>
    <mergeCell ref="V6:V7"/>
    <mergeCell ref="Y6:Y7"/>
    <mergeCell ref="Z6:Z7"/>
    <mergeCell ref="AA6:AA7"/>
    <mergeCell ref="A10:AA10"/>
    <mergeCell ref="A13:AA13"/>
    <mergeCell ref="W6:X7"/>
    <mergeCell ref="G7:H7"/>
    <mergeCell ref="J7:K7"/>
    <mergeCell ref="L7:M7"/>
    <mergeCell ref="N7:O7"/>
    <mergeCell ref="P7:Q7"/>
  </mergeCells>
  <pageMargins left="0" right="0" top="0.74803149606299213" bottom="0.74803149606299213" header="0.31496062992125984" footer="0.31496062992125984"/>
  <pageSetup paperSize="9" scale="93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  <pageSetUpPr fitToPage="1"/>
  </sheetPr>
  <dimension ref="A1:AC21"/>
  <sheetViews>
    <sheetView view="pageBreakPreview" zoomScale="85" zoomScaleNormal="85" zoomScaleSheetLayoutView="85" workbookViewId="0">
      <selection activeCell="X18" sqref="X18"/>
    </sheetView>
  </sheetViews>
  <sheetFormatPr defaultColWidth="9.140625" defaultRowHeight="12.75"/>
  <cols>
    <col min="1" max="1" width="3.5703125" style="64" bestFit="1" customWidth="1"/>
    <col min="2" max="2" width="27.28515625" style="64" customWidth="1"/>
    <col min="3" max="3" width="5.28515625" style="64" customWidth="1"/>
    <col min="4" max="4" width="7.7109375" style="64" customWidth="1"/>
    <col min="5" max="5" width="6" style="64" customWidth="1"/>
    <col min="6" max="6" width="8.140625" style="64" customWidth="1"/>
    <col min="7" max="7" width="5.7109375" style="64" customWidth="1"/>
    <col min="8" max="8" width="7.28515625" style="64" customWidth="1"/>
    <col min="9" max="9" width="6.140625" style="64" customWidth="1"/>
    <col min="10" max="11" width="9.42578125" style="64" hidden="1" customWidth="1"/>
    <col min="12" max="12" width="6.42578125" style="64" customWidth="1"/>
    <col min="13" max="13" width="10.140625" style="64" bestFit="1" customWidth="1"/>
    <col min="14" max="14" width="6.5703125" style="64" customWidth="1"/>
    <col min="15" max="15" width="8.7109375" style="64" customWidth="1"/>
    <col min="16" max="16" width="5.7109375" style="64" customWidth="1"/>
    <col min="17" max="17" width="7.28515625" style="64" customWidth="1"/>
    <col min="18" max="20" width="8.5703125" style="64" customWidth="1"/>
    <col min="21" max="21" width="9.7109375" style="64" customWidth="1"/>
    <col min="22" max="24" width="8.5703125" style="64" customWidth="1"/>
    <col min="25" max="25" width="10" style="64" customWidth="1"/>
    <col min="26" max="26" width="8.5703125" style="64" customWidth="1"/>
    <col min="27" max="27" width="9.7109375" style="64" customWidth="1"/>
    <col min="28" max="16384" width="9.140625" style="64"/>
  </cols>
  <sheetData>
    <row r="1" spans="1:27" ht="69" customHeight="1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Z1" s="399" t="s">
        <v>515</v>
      </c>
      <c r="AA1" s="399"/>
    </row>
    <row r="2" spans="1:27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3"/>
    </row>
    <row r="3" spans="1:27">
      <c r="A3" s="442" t="s">
        <v>125</v>
      </c>
      <c r="B3" s="442"/>
      <c r="C3" s="442"/>
      <c r="D3" s="442"/>
      <c r="E3" s="442"/>
      <c r="F3" s="442"/>
      <c r="G3" s="442"/>
      <c r="H3" s="442"/>
      <c r="I3" s="442"/>
      <c r="J3" s="442"/>
      <c r="K3" s="442"/>
      <c r="L3" s="442"/>
      <c r="M3" s="442"/>
      <c r="N3" s="442"/>
      <c r="O3" s="442"/>
      <c r="P3" s="442"/>
      <c r="Q3" s="442"/>
      <c r="R3" s="442"/>
      <c r="S3" s="442"/>
      <c r="T3" s="442"/>
      <c r="U3" s="442"/>
      <c r="V3" s="442"/>
      <c r="W3" s="442"/>
      <c r="X3" s="442"/>
      <c r="Y3" s="442"/>
      <c r="Z3" s="442"/>
      <c r="AA3" s="442"/>
    </row>
    <row r="4" spans="1:27" ht="13.1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</row>
    <row r="5" spans="1:27" ht="13.9" customHeight="1">
      <c r="A5" s="437" t="s">
        <v>0</v>
      </c>
      <c r="B5" s="437" t="s">
        <v>20</v>
      </c>
      <c r="C5" s="437" t="s">
        <v>21</v>
      </c>
      <c r="D5" s="437" t="s">
        <v>22</v>
      </c>
      <c r="E5" s="437" t="s">
        <v>103</v>
      </c>
      <c r="F5" s="453" t="s">
        <v>23</v>
      </c>
      <c r="G5" s="434" t="s">
        <v>104</v>
      </c>
      <c r="H5" s="435"/>
      <c r="I5" s="435"/>
      <c r="J5" s="435"/>
      <c r="K5" s="435"/>
      <c r="L5" s="435"/>
      <c r="M5" s="435"/>
      <c r="N5" s="435"/>
      <c r="O5" s="435"/>
      <c r="P5" s="435"/>
      <c r="Q5" s="436"/>
      <c r="R5" s="437" t="s">
        <v>28</v>
      </c>
      <c r="S5" s="441" t="s">
        <v>167</v>
      </c>
      <c r="T5" s="437" t="s">
        <v>105</v>
      </c>
      <c r="U5" s="437" t="s">
        <v>106</v>
      </c>
      <c r="V5" s="437" t="s">
        <v>108</v>
      </c>
      <c r="W5" s="446" t="s">
        <v>109</v>
      </c>
      <c r="X5" s="447"/>
      <c r="Y5" s="437" t="s">
        <v>110</v>
      </c>
      <c r="Z5" s="437" t="s">
        <v>111</v>
      </c>
      <c r="AA5" s="437" t="s">
        <v>112</v>
      </c>
    </row>
    <row r="6" spans="1:27" ht="110.45" customHeight="1">
      <c r="A6" s="452"/>
      <c r="B6" s="452"/>
      <c r="C6" s="452"/>
      <c r="D6" s="452"/>
      <c r="E6" s="452"/>
      <c r="F6" s="454"/>
      <c r="G6" s="444" t="s">
        <v>85</v>
      </c>
      <c r="H6" s="445"/>
      <c r="I6" s="127" t="s">
        <v>25</v>
      </c>
      <c r="J6" s="444" t="s">
        <v>24</v>
      </c>
      <c r="K6" s="445"/>
      <c r="L6" s="444" t="s">
        <v>114</v>
      </c>
      <c r="M6" s="445"/>
      <c r="N6" s="444" t="s">
        <v>26</v>
      </c>
      <c r="O6" s="445"/>
      <c r="P6" s="439" t="s">
        <v>115</v>
      </c>
      <c r="Q6" s="440"/>
      <c r="R6" s="438"/>
      <c r="S6" s="441"/>
      <c r="T6" s="438"/>
      <c r="U6" s="438"/>
      <c r="V6" s="438"/>
      <c r="W6" s="448"/>
      <c r="X6" s="449"/>
      <c r="Y6" s="438"/>
      <c r="Z6" s="438"/>
      <c r="AA6" s="438"/>
    </row>
    <row r="7" spans="1:27">
      <c r="A7" s="438"/>
      <c r="B7" s="438"/>
      <c r="C7" s="438"/>
      <c r="D7" s="438"/>
      <c r="E7" s="438"/>
      <c r="F7" s="455"/>
      <c r="G7" s="125" t="s">
        <v>3</v>
      </c>
      <c r="H7" s="125" t="s">
        <v>29</v>
      </c>
      <c r="I7" s="125" t="s">
        <v>29</v>
      </c>
      <c r="J7" s="125" t="s">
        <v>3</v>
      </c>
      <c r="K7" s="125" t="s">
        <v>29</v>
      </c>
      <c r="L7" s="125" t="s">
        <v>3</v>
      </c>
      <c r="M7" s="125" t="s">
        <v>29</v>
      </c>
      <c r="N7" s="125" t="s">
        <v>3</v>
      </c>
      <c r="O7" s="125" t="s">
        <v>29</v>
      </c>
      <c r="P7" s="125" t="s">
        <v>3</v>
      </c>
      <c r="Q7" s="125" t="s">
        <v>29</v>
      </c>
      <c r="R7" s="125" t="s">
        <v>29</v>
      </c>
      <c r="S7" s="125" t="s">
        <v>29</v>
      </c>
      <c r="T7" s="125" t="s">
        <v>29</v>
      </c>
      <c r="U7" s="125" t="s">
        <v>29</v>
      </c>
      <c r="V7" s="125" t="s">
        <v>29</v>
      </c>
      <c r="W7" s="125" t="s">
        <v>190</v>
      </c>
      <c r="X7" s="125" t="s">
        <v>29</v>
      </c>
      <c r="Y7" s="125" t="s">
        <v>29</v>
      </c>
      <c r="Z7" s="125" t="s">
        <v>29</v>
      </c>
      <c r="AA7" s="125" t="s">
        <v>29</v>
      </c>
    </row>
    <row r="8" spans="1:27">
      <c r="A8" s="125">
        <v>1</v>
      </c>
      <c r="B8" s="125">
        <v>2</v>
      </c>
      <c r="C8" s="125">
        <v>3</v>
      </c>
      <c r="D8" s="125">
        <v>4</v>
      </c>
      <c r="E8" s="125">
        <v>5</v>
      </c>
      <c r="F8" s="125">
        <v>6</v>
      </c>
      <c r="G8" s="125">
        <v>7</v>
      </c>
      <c r="H8" s="125">
        <v>8</v>
      </c>
      <c r="I8" s="125">
        <v>9</v>
      </c>
      <c r="J8" s="125">
        <v>10</v>
      </c>
      <c r="K8" s="125">
        <v>11</v>
      </c>
      <c r="L8" s="125">
        <v>10</v>
      </c>
      <c r="M8" s="125">
        <v>11</v>
      </c>
      <c r="N8" s="125">
        <v>12</v>
      </c>
      <c r="O8" s="125">
        <v>13</v>
      </c>
      <c r="P8" s="125">
        <v>14</v>
      </c>
      <c r="Q8" s="125">
        <v>15</v>
      </c>
      <c r="R8" s="125">
        <v>16</v>
      </c>
      <c r="S8" s="125">
        <v>17</v>
      </c>
      <c r="T8" s="125">
        <v>18</v>
      </c>
      <c r="U8" s="125">
        <v>19</v>
      </c>
      <c r="V8" s="125">
        <v>20</v>
      </c>
      <c r="W8" s="125">
        <v>21</v>
      </c>
      <c r="X8" s="125">
        <v>22</v>
      </c>
      <c r="Y8" s="125">
        <v>23</v>
      </c>
      <c r="Z8" s="125">
        <v>24</v>
      </c>
      <c r="AA8" s="125"/>
    </row>
    <row r="9" spans="1:27">
      <c r="A9" s="434" t="s">
        <v>354</v>
      </c>
      <c r="B9" s="435"/>
      <c r="C9" s="435"/>
      <c r="D9" s="435"/>
      <c r="E9" s="435"/>
      <c r="F9" s="435"/>
      <c r="G9" s="435"/>
      <c r="H9" s="435"/>
      <c r="I9" s="435"/>
      <c r="J9" s="435"/>
      <c r="K9" s="435"/>
      <c r="L9" s="435"/>
      <c r="M9" s="435"/>
      <c r="N9" s="435"/>
      <c r="O9" s="435"/>
      <c r="P9" s="435"/>
      <c r="Q9" s="435"/>
      <c r="R9" s="435"/>
      <c r="S9" s="435"/>
      <c r="T9" s="435"/>
      <c r="U9" s="435"/>
      <c r="V9" s="435"/>
      <c r="W9" s="435"/>
      <c r="X9" s="435"/>
      <c r="Y9" s="435"/>
      <c r="Z9" s="435"/>
      <c r="AA9" s="436"/>
    </row>
    <row r="10" spans="1:27">
      <c r="A10" s="78">
        <v>16</v>
      </c>
      <c r="B10" s="77" t="s">
        <v>33</v>
      </c>
      <c r="C10" s="79">
        <v>1</v>
      </c>
      <c r="D10" s="85">
        <v>7040</v>
      </c>
      <c r="E10" s="129">
        <v>1</v>
      </c>
      <c r="F10" s="85">
        <f t="shared" ref="F10:F11" si="0">+D10*E10</f>
        <v>7040</v>
      </c>
      <c r="G10" s="73"/>
      <c r="H10" s="85">
        <f t="shared" ref="H10" si="1">F10*G10</f>
        <v>0</v>
      </c>
      <c r="I10" s="79"/>
      <c r="J10" s="73"/>
      <c r="K10" s="79"/>
      <c r="L10" s="79"/>
      <c r="M10" s="85">
        <f>+F10*L10</f>
        <v>0</v>
      </c>
      <c r="N10" s="114">
        <v>0.2</v>
      </c>
      <c r="O10" s="85">
        <f t="shared" ref="O10:O11" si="2">N10*F10</f>
        <v>1408</v>
      </c>
      <c r="P10" s="130">
        <v>0.5</v>
      </c>
      <c r="Q10" s="80">
        <f>F10*P10</f>
        <v>3520</v>
      </c>
      <c r="R10" s="85">
        <f t="shared" ref="R10:R11" si="3">F10+H10+I10+K10+Q10+M10+O10</f>
        <v>11968</v>
      </c>
      <c r="S10" s="85">
        <f>R10</f>
        <v>11968</v>
      </c>
      <c r="T10" s="85"/>
      <c r="U10" s="85"/>
      <c r="V10" s="85">
        <f t="shared" ref="V10:V11" si="4">(S10*14.0135)/12</f>
        <v>13976.130666666666</v>
      </c>
      <c r="W10" s="85"/>
      <c r="X10" s="85"/>
      <c r="Y10" s="85">
        <f>(S10*8)+T10+U10+V10</f>
        <v>109720.13066666666</v>
      </c>
      <c r="Z10" s="85">
        <f>((S10*8)+T10+V10)*0.1725</f>
        <v>18926.722539999999</v>
      </c>
      <c r="AA10" s="85">
        <f>Y10+Z10</f>
        <v>128646.85320666667</v>
      </c>
    </row>
    <row r="11" spans="1:27">
      <c r="A11" s="78">
        <v>17</v>
      </c>
      <c r="B11" s="15" t="s">
        <v>66</v>
      </c>
      <c r="C11" s="79">
        <v>1</v>
      </c>
      <c r="D11" s="85">
        <v>7040</v>
      </c>
      <c r="E11" s="129">
        <v>1</v>
      </c>
      <c r="F11" s="85">
        <f t="shared" si="0"/>
        <v>7040</v>
      </c>
      <c r="G11" s="73"/>
      <c r="H11" s="85"/>
      <c r="I11" s="79"/>
      <c r="J11" s="73"/>
      <c r="K11" s="79"/>
      <c r="L11" s="79"/>
      <c r="M11" s="85">
        <f>+F11*L11</f>
        <v>0</v>
      </c>
      <c r="N11" s="114">
        <v>0.2</v>
      </c>
      <c r="O11" s="85">
        <f t="shared" si="2"/>
        <v>1408</v>
      </c>
      <c r="P11" s="130">
        <v>0.25</v>
      </c>
      <c r="Q11" s="80">
        <f>F11*P11</f>
        <v>1760</v>
      </c>
      <c r="R11" s="85">
        <f t="shared" si="3"/>
        <v>10208</v>
      </c>
      <c r="S11" s="85">
        <f>R11</f>
        <v>10208</v>
      </c>
      <c r="T11" s="85"/>
      <c r="U11" s="85"/>
      <c r="V11" s="85">
        <f t="shared" si="4"/>
        <v>11920.817333333334</v>
      </c>
      <c r="W11" s="85"/>
      <c r="X11" s="85"/>
      <c r="Y11" s="85">
        <f>(S11*8)+T11+U11+V11</f>
        <v>93584.81733333334</v>
      </c>
      <c r="Z11" s="85">
        <f>((S11*8)+T11+V11)*0.1725</f>
        <v>16143.38099</v>
      </c>
      <c r="AA11" s="85">
        <f>Y11+Z11</f>
        <v>109728.19832333334</v>
      </c>
    </row>
    <row r="12" spans="1:27">
      <c r="A12" s="125"/>
      <c r="B12" s="125" t="s">
        <v>31</v>
      </c>
      <c r="C12" s="82">
        <f>SUM(C10:C11)</f>
        <v>2</v>
      </c>
      <c r="D12" s="132">
        <f>SUM(D10:D11)</f>
        <v>14080</v>
      </c>
      <c r="E12" s="83"/>
      <c r="F12" s="132">
        <f>SUM(F10:F11)</f>
        <v>14080</v>
      </c>
      <c r="G12" s="83"/>
      <c r="H12" s="132">
        <f t="shared" ref="H12:M12" si="5">SUM(H10:H11)</f>
        <v>0</v>
      </c>
      <c r="I12" s="83">
        <f t="shared" si="5"/>
        <v>0</v>
      </c>
      <c r="J12" s="83">
        <f t="shared" si="5"/>
        <v>0</v>
      </c>
      <c r="K12" s="83">
        <f t="shared" si="5"/>
        <v>0</v>
      </c>
      <c r="L12" s="83">
        <f t="shared" si="5"/>
        <v>0</v>
      </c>
      <c r="M12" s="132">
        <f t="shared" si="5"/>
        <v>0</v>
      </c>
      <c r="N12" s="83"/>
      <c r="O12" s="132">
        <f>SUM(O10:O11)</f>
        <v>2816</v>
      </c>
      <c r="P12" s="83"/>
      <c r="Q12" s="83">
        <f t="shared" ref="Q12:V12" si="6">SUM(Q10:Q11)</f>
        <v>5280</v>
      </c>
      <c r="R12" s="132">
        <f t="shared" si="6"/>
        <v>22176</v>
      </c>
      <c r="S12" s="132">
        <f t="shared" si="6"/>
        <v>22176</v>
      </c>
      <c r="T12" s="132">
        <f t="shared" si="6"/>
        <v>0</v>
      </c>
      <c r="U12" s="132">
        <f t="shared" si="6"/>
        <v>0</v>
      </c>
      <c r="V12" s="132">
        <f t="shared" si="6"/>
        <v>25896.948</v>
      </c>
      <c r="W12" s="132"/>
      <c r="X12" s="132">
        <f>SUM(X10:X11)</f>
        <v>0</v>
      </c>
      <c r="Y12" s="132">
        <f>SUM(Y10:Y11)</f>
        <v>203304.948</v>
      </c>
      <c r="Z12" s="132">
        <f>SUM(Z10:Z11)</f>
        <v>35070.10353</v>
      </c>
      <c r="AA12" s="132">
        <f>SUM(AA10:AA11)</f>
        <v>238375.05153</v>
      </c>
    </row>
    <row r="13" spans="1:27" ht="13.9" customHeight="1">
      <c r="A13" s="434" t="s">
        <v>355</v>
      </c>
      <c r="B13" s="435"/>
      <c r="C13" s="435"/>
      <c r="D13" s="435"/>
      <c r="E13" s="435"/>
      <c r="F13" s="435"/>
      <c r="G13" s="435"/>
      <c r="H13" s="435"/>
      <c r="I13" s="435"/>
      <c r="J13" s="435"/>
      <c r="K13" s="435"/>
      <c r="L13" s="435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6"/>
    </row>
    <row r="14" spans="1:27">
      <c r="A14" s="78">
        <v>16</v>
      </c>
      <c r="B14" s="77" t="s">
        <v>33</v>
      </c>
      <c r="C14" s="79">
        <v>1</v>
      </c>
      <c r="D14" s="85">
        <v>7040</v>
      </c>
      <c r="E14" s="129">
        <v>1.2</v>
      </c>
      <c r="F14" s="85">
        <f t="shared" ref="F14:F15" si="7">+D14*E14</f>
        <v>8448</v>
      </c>
      <c r="G14" s="73"/>
      <c r="H14" s="85">
        <f t="shared" ref="H14" si="8">F14*G14</f>
        <v>0</v>
      </c>
      <c r="I14" s="79"/>
      <c r="J14" s="73"/>
      <c r="K14" s="79"/>
      <c r="L14" s="79"/>
      <c r="M14" s="85">
        <f>+F14*L14</f>
        <v>0</v>
      </c>
      <c r="N14" s="114">
        <v>0.2</v>
      </c>
      <c r="O14" s="85">
        <f t="shared" ref="O14:O15" si="9">N14*F14</f>
        <v>1689.6000000000001</v>
      </c>
      <c r="P14" s="130">
        <v>0.5</v>
      </c>
      <c r="Q14" s="80">
        <f>F14*P14</f>
        <v>4224</v>
      </c>
      <c r="R14" s="85">
        <f t="shared" ref="R14:R15" si="10">F14+H14+I14+K14+Q14+M14+O14</f>
        <v>14361.6</v>
      </c>
      <c r="S14" s="85">
        <f>R14</f>
        <v>14361.6</v>
      </c>
      <c r="T14" s="85"/>
      <c r="U14" s="85"/>
      <c r="V14" s="85">
        <f t="shared" ref="V14:V15" si="11">(S14*14.0135)/12</f>
        <v>16771.356800000001</v>
      </c>
      <c r="W14" s="85"/>
      <c r="X14" s="85"/>
      <c r="Y14" s="85">
        <f t="shared" ref="Y14:Y15" si="12">(S14*8)+T14+U14+V14</f>
        <v>131664.1568</v>
      </c>
      <c r="Z14" s="85">
        <f t="shared" ref="Z14:Z15" si="13">((S14*8)+T14+V14)*0.1725</f>
        <v>22712.067047999997</v>
      </c>
      <c r="AA14" s="85">
        <f>Y14+Z14</f>
        <v>154376.22384799999</v>
      </c>
    </row>
    <row r="15" spans="1:27">
      <c r="A15" s="78">
        <v>17</v>
      </c>
      <c r="B15" s="15" t="s">
        <v>66</v>
      </c>
      <c r="C15" s="79">
        <v>1</v>
      </c>
      <c r="D15" s="85">
        <v>7040</v>
      </c>
      <c r="E15" s="129">
        <v>1.2</v>
      </c>
      <c r="F15" s="85">
        <f t="shared" si="7"/>
        <v>8448</v>
      </c>
      <c r="G15" s="73"/>
      <c r="H15" s="85"/>
      <c r="I15" s="79"/>
      <c r="J15" s="73"/>
      <c r="K15" s="79"/>
      <c r="L15" s="79"/>
      <c r="M15" s="85">
        <f>+F15*L15</f>
        <v>0</v>
      </c>
      <c r="N15" s="114">
        <v>0.2</v>
      </c>
      <c r="O15" s="85">
        <f t="shared" si="9"/>
        <v>1689.6000000000001</v>
      </c>
      <c r="P15" s="130">
        <v>0.25</v>
      </c>
      <c r="Q15" s="80">
        <f>F15*P15</f>
        <v>2112</v>
      </c>
      <c r="R15" s="85">
        <f t="shared" si="10"/>
        <v>12249.6</v>
      </c>
      <c r="S15" s="85">
        <f>R15</f>
        <v>12249.6</v>
      </c>
      <c r="T15" s="85"/>
      <c r="U15" s="85"/>
      <c r="V15" s="85">
        <f t="shared" si="11"/>
        <v>14304.980799999999</v>
      </c>
      <c r="W15" s="85"/>
      <c r="X15" s="85"/>
      <c r="Y15" s="85">
        <f t="shared" si="12"/>
        <v>112301.78080000001</v>
      </c>
      <c r="Z15" s="85">
        <f t="shared" si="13"/>
        <v>19372.057187999999</v>
      </c>
      <c r="AA15" s="85">
        <f>Y15+Z15</f>
        <v>131673.83798800001</v>
      </c>
    </row>
    <row r="16" spans="1:27">
      <c r="A16" s="125"/>
      <c r="B16" s="125" t="s">
        <v>31</v>
      </c>
      <c r="C16" s="82">
        <f>SUM(C14:C15)</f>
        <v>2</v>
      </c>
      <c r="D16" s="132">
        <f>SUM(D14:D15)</f>
        <v>14080</v>
      </c>
      <c r="E16" s="83"/>
      <c r="F16" s="132">
        <f>SUM(F14:F15)</f>
        <v>16896</v>
      </c>
      <c r="G16" s="83"/>
      <c r="H16" s="132">
        <f t="shared" ref="H16:M16" si="14">SUM(H14:H15)</f>
        <v>0</v>
      </c>
      <c r="I16" s="83">
        <f t="shared" si="14"/>
        <v>0</v>
      </c>
      <c r="J16" s="83">
        <f t="shared" si="14"/>
        <v>0</v>
      </c>
      <c r="K16" s="83">
        <f t="shared" si="14"/>
        <v>0</v>
      </c>
      <c r="L16" s="83">
        <f t="shared" si="14"/>
        <v>0</v>
      </c>
      <c r="M16" s="132">
        <f t="shared" si="14"/>
        <v>0</v>
      </c>
      <c r="N16" s="83"/>
      <c r="O16" s="132">
        <f>SUM(O14:O15)</f>
        <v>3379.2000000000003</v>
      </c>
      <c r="P16" s="83"/>
      <c r="Q16" s="83">
        <f t="shared" ref="Q16:V16" si="15">SUM(Q14:Q15)</f>
        <v>6336</v>
      </c>
      <c r="R16" s="132">
        <f t="shared" si="15"/>
        <v>26611.200000000001</v>
      </c>
      <c r="S16" s="132">
        <f t="shared" si="15"/>
        <v>26611.200000000001</v>
      </c>
      <c r="T16" s="132">
        <f t="shared" si="15"/>
        <v>0</v>
      </c>
      <c r="U16" s="132">
        <f t="shared" si="15"/>
        <v>0</v>
      </c>
      <c r="V16" s="132">
        <f t="shared" si="15"/>
        <v>31076.337599999999</v>
      </c>
      <c r="W16" s="132"/>
      <c r="X16" s="132">
        <f>SUM(X14:X15)</f>
        <v>0</v>
      </c>
      <c r="Y16" s="132">
        <f>SUM(Y14:Y15)</f>
        <v>243965.9376</v>
      </c>
      <c r="Z16" s="132">
        <f>SUM(Z14:Z15)</f>
        <v>42084.124235999996</v>
      </c>
      <c r="AA16" s="132">
        <f>SUM(AA14:AA15)</f>
        <v>286050.06183600001</v>
      </c>
    </row>
    <row r="17" spans="1:29">
      <c r="A17" s="133"/>
      <c r="B17" s="112"/>
      <c r="C17" s="134"/>
      <c r="D17" s="134"/>
      <c r="E17" s="134"/>
      <c r="F17" s="135"/>
      <c r="G17" s="113"/>
      <c r="H17" s="136"/>
      <c r="I17" s="134"/>
      <c r="J17" s="113"/>
      <c r="K17" s="134"/>
      <c r="L17" s="113"/>
      <c r="M17" s="136"/>
      <c r="N17" s="134"/>
      <c r="O17" s="134"/>
      <c r="P17" s="113"/>
      <c r="Q17" s="137"/>
      <c r="R17" s="136"/>
      <c r="S17" s="136"/>
      <c r="T17" s="136"/>
      <c r="U17" s="136"/>
      <c r="V17" s="136"/>
      <c r="W17" s="136"/>
      <c r="X17" s="136"/>
      <c r="Y17" s="136"/>
      <c r="Z17" s="136"/>
      <c r="AA17" s="136"/>
    </row>
    <row r="18" spans="1:29">
      <c r="B18" s="164"/>
      <c r="Y18" s="122"/>
      <c r="Z18" s="122"/>
      <c r="AA18" s="86"/>
    </row>
    <row r="19" spans="1:29">
      <c r="B19" s="2"/>
      <c r="Y19" s="122"/>
      <c r="Z19" s="123"/>
      <c r="AA19" s="122"/>
      <c r="AC19" s="86"/>
    </row>
    <row r="20" spans="1:29">
      <c r="B20" s="451" t="s">
        <v>516</v>
      </c>
      <c r="C20" s="450"/>
      <c r="D20" s="450"/>
      <c r="E20" s="450"/>
      <c r="F20" s="450"/>
      <c r="G20" s="450"/>
      <c r="H20" s="450"/>
      <c r="I20" s="450"/>
      <c r="J20" s="450"/>
      <c r="K20" s="450"/>
      <c r="L20" s="450"/>
      <c r="M20" s="450"/>
      <c r="N20" s="450"/>
      <c r="O20" s="450"/>
      <c r="P20" s="450"/>
      <c r="Q20" s="450"/>
      <c r="R20" s="450"/>
      <c r="S20" s="450"/>
      <c r="T20" s="450"/>
      <c r="U20" s="450"/>
      <c r="Y20" s="122"/>
      <c r="Z20" s="86"/>
      <c r="AA20" s="86"/>
    </row>
    <row r="21" spans="1:29">
      <c r="B21" s="450"/>
      <c r="C21" s="450"/>
      <c r="D21" s="450"/>
      <c r="E21" s="450"/>
      <c r="F21" s="450"/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50"/>
      <c r="R21" s="450"/>
      <c r="S21" s="450"/>
      <c r="T21" s="450"/>
      <c r="U21" s="450"/>
    </row>
  </sheetData>
  <mergeCells count="26">
    <mergeCell ref="B20:U21"/>
    <mergeCell ref="Z1:AA1"/>
    <mergeCell ref="L6:M6"/>
    <mergeCell ref="N6:O6"/>
    <mergeCell ref="Y5:Y6"/>
    <mergeCell ref="P6:Q6"/>
    <mergeCell ref="T5:T6"/>
    <mergeCell ref="U5:U6"/>
    <mergeCell ref="V5:V6"/>
    <mergeCell ref="W5:X6"/>
    <mergeCell ref="A9:AA9"/>
    <mergeCell ref="A13:AA13"/>
    <mergeCell ref="A3:AA3"/>
    <mergeCell ref="A5:A7"/>
    <mergeCell ref="B5:B7"/>
    <mergeCell ref="C5:C7"/>
    <mergeCell ref="D5:D7"/>
    <mergeCell ref="E5:E7"/>
    <mergeCell ref="F5:F7"/>
    <mergeCell ref="G5:Q5"/>
    <mergeCell ref="R5:R6"/>
    <mergeCell ref="S5:S6"/>
    <mergeCell ref="Z5:Z6"/>
    <mergeCell ref="AA5:AA6"/>
    <mergeCell ref="G6:H6"/>
    <mergeCell ref="J6:K6"/>
  </mergeCells>
  <pageMargins left="0" right="0" top="0.74803149606299213" bottom="0.74803149606299213" header="0.31496062992125984" footer="0.31496062992125984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23</vt:i4>
      </vt:variant>
      <vt:variant>
        <vt:lpstr>Именованные диапазоны</vt:lpstr>
      </vt:variant>
      <vt:variant>
        <vt:i4>28</vt:i4>
      </vt:variant>
    </vt:vector>
  </HeadingPairs>
  <TitlesOfParts>
    <vt:vector size="51" baseType="lpstr">
      <vt:lpstr>Изменение 1 до ошибки</vt:lpstr>
      <vt:lpstr>Т1 старый</vt:lpstr>
      <vt:lpstr>Спец</vt:lpstr>
      <vt:lpstr>Т 1</vt:lpstr>
      <vt:lpstr>Т2</vt:lpstr>
      <vt:lpstr>Т2а</vt:lpstr>
      <vt:lpstr>Т3 мэрия</vt:lpstr>
      <vt:lpstr>Т4 управа</vt:lpstr>
      <vt:lpstr>Т5 Тайгараев</vt:lpstr>
      <vt:lpstr>Т6 Конгантиев</vt:lpstr>
      <vt:lpstr>Т7 УГД</vt:lpstr>
      <vt:lpstr>Т8 ЖКХ</vt:lpstr>
      <vt:lpstr>Т9 Жашыл</vt:lpstr>
      <vt:lpstr>Т10 тазалык бюджет</vt:lpstr>
      <vt:lpstr>Т10а тазалык спец</vt:lpstr>
      <vt:lpstr>Т11 УЗР</vt:lpstr>
      <vt:lpstr>Т12 УМИ бюджет</vt:lpstr>
      <vt:lpstr>Т12а УМИ спец</vt:lpstr>
      <vt:lpstr>Т13 ФК </vt:lpstr>
      <vt:lpstr>Т14 стадион</vt:lpstr>
      <vt:lpstr>Т15 милосердие</vt:lpstr>
      <vt:lpstr>Т16 Совет ветеран</vt:lpstr>
      <vt:lpstr>Лист1</vt:lpstr>
      <vt:lpstr>'Т 1'!Заголовки_для_печати</vt:lpstr>
      <vt:lpstr>'Т10а тазалык спец'!Заголовки_для_печати</vt:lpstr>
      <vt:lpstr>'Т11 УЗР'!Заголовки_для_печати</vt:lpstr>
      <vt:lpstr>'Т12 УМИ бюджет'!Заголовки_для_печати</vt:lpstr>
      <vt:lpstr>'Т12а УМИ спец'!Заголовки_для_печати</vt:lpstr>
      <vt:lpstr>Т2!Заголовки_для_печати</vt:lpstr>
      <vt:lpstr>Т2а!Заголовки_для_печати</vt:lpstr>
      <vt:lpstr>'Т7 УГД'!Заголовки_для_печати</vt:lpstr>
      <vt:lpstr>'Т8 ЖКХ'!Заголовки_для_печати</vt:lpstr>
      <vt:lpstr>'Т9 Жашыл'!Заголовки_для_печати</vt:lpstr>
      <vt:lpstr>'Т10 тазалык бюджет'!Область_печати</vt:lpstr>
      <vt:lpstr>'Т10а тазалык спец'!Область_печати</vt:lpstr>
      <vt:lpstr>'Т11 УЗР'!Область_печати</vt:lpstr>
      <vt:lpstr>'Т12 УМИ бюджет'!Область_печати</vt:lpstr>
      <vt:lpstr>'Т12а УМИ спец'!Область_печати</vt:lpstr>
      <vt:lpstr>'Т13 ФК '!Область_печати</vt:lpstr>
      <vt:lpstr>'Т14 стадион'!Область_печати</vt:lpstr>
      <vt:lpstr>'Т15 милосердие'!Область_печати</vt:lpstr>
      <vt:lpstr>'Т16 Совет ветеран'!Область_печати</vt:lpstr>
      <vt:lpstr>Т2!Область_печати</vt:lpstr>
      <vt:lpstr>Т2а!Область_печати</vt:lpstr>
      <vt:lpstr>'Т3 мэрия'!Область_печати</vt:lpstr>
      <vt:lpstr>'Т4 управа'!Область_печати</vt:lpstr>
      <vt:lpstr>'Т5 Тайгараев'!Область_печати</vt:lpstr>
      <vt:lpstr>'Т6 Конгантиев'!Область_печати</vt:lpstr>
      <vt:lpstr>'Т7 УГД'!Область_печати</vt:lpstr>
      <vt:lpstr>'Т8 ЖКХ'!Область_печати</vt:lpstr>
      <vt:lpstr>'Т9 Жашыл'!Область_печати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Nurbek Haitkulov</dc:creator>
  <cp:lastModifiedBy>User</cp:lastModifiedBy>
  <cp:lastPrinted>2025-10-14T05:10:30Z</cp:lastPrinted>
  <dcterms:created xsi:type="dcterms:W3CDTF">2019-01-14T08:31:43Z</dcterms:created>
  <dcterms:modified xsi:type="dcterms:W3CDTF">2025-10-14T05:10:35Z</dcterms:modified>
</cp:coreProperties>
</file>