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ЕТЕВАЯ ПАПКА\9 сессия\"/>
    </mc:Choice>
  </mc:AlternateContent>
  <bookViews>
    <workbookView xWindow="0" yWindow="0" windowWidth="21570" windowHeight="8085" activeTab="3"/>
  </bookViews>
  <sheets>
    <sheet name="Т1 киреше бөлүгү" sheetId="3" r:id="rId1"/>
    <sheet name="Т2 чыгаша бөлүгү бюджет" sheetId="1" r:id="rId2"/>
    <sheet name="Т2а чыгаша бөлүгү атайын эсеп" sheetId="2" r:id="rId3"/>
    <sheet name="Т3 Тазалык" sheetId="4" r:id="rId4"/>
  </sheets>
  <definedNames>
    <definedName name="_xlnm.Print_Titles" localSheetId="0">'Т1 киреше бөлүгү'!$9:$11</definedName>
    <definedName name="_xlnm.Print_Titles" localSheetId="1">'Т2 чыгаша бөлүгү бюджет'!$8:$9</definedName>
    <definedName name="_xlnm.Print_Area" localSheetId="1">'Т2 чыгаша бөлүгү бюджет'!$A$1:$F$149</definedName>
    <definedName name="_xlnm.Print_Area" localSheetId="2">'Т2а чыгаша бөлүгү атайын эсеп'!$A$1:$F$47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4" l="1"/>
  <c r="F45" i="4"/>
  <c r="E45" i="4"/>
  <c r="V44" i="4"/>
  <c r="U44" i="4"/>
  <c r="T44" i="4"/>
  <c r="R44" i="4"/>
  <c r="Q44" i="4"/>
  <c r="Q45" i="4" s="1"/>
  <c r="P44" i="4"/>
  <c r="N44" i="4"/>
  <c r="M44" i="4"/>
  <c r="L44" i="4"/>
  <c r="K44" i="4"/>
  <c r="K45" i="4" s="1"/>
  <c r="J44" i="4"/>
  <c r="I44" i="4"/>
  <c r="H44" i="4"/>
  <c r="G44" i="4"/>
  <c r="F44" i="4"/>
  <c r="D44" i="4"/>
  <c r="C44" i="4"/>
  <c r="S43" i="4"/>
  <c r="S44" i="4" s="1"/>
  <c r="Q43" i="4"/>
  <c r="O43" i="4"/>
  <c r="O44" i="4" s="1"/>
  <c r="F43" i="4"/>
  <c r="U42" i="4"/>
  <c r="U45" i="4" s="1"/>
  <c r="T42" i="4"/>
  <c r="T45" i="4" s="1"/>
  <c r="Q42" i="4"/>
  <c r="P42" i="4"/>
  <c r="O42" i="4"/>
  <c r="O45" i="4" s="1"/>
  <c r="N42" i="4"/>
  <c r="N45" i="4" s="1"/>
  <c r="M42" i="4"/>
  <c r="M45" i="4" s="1"/>
  <c r="L42" i="4"/>
  <c r="K42" i="4"/>
  <c r="J42" i="4"/>
  <c r="I42" i="4"/>
  <c r="I45" i="4" s="1"/>
  <c r="H42" i="4"/>
  <c r="H45" i="4" s="1"/>
  <c r="G42" i="4"/>
  <c r="G45" i="4" s="1"/>
  <c r="E42" i="4"/>
  <c r="D42" i="4"/>
  <c r="C42" i="4"/>
  <c r="F41" i="4"/>
  <c r="O40" i="4"/>
  <c r="R40" i="4" s="1"/>
  <c r="S40" i="4" s="1"/>
  <c r="F40" i="4"/>
  <c r="O39" i="4"/>
  <c r="R39" i="4" s="1"/>
  <c r="S39" i="4" s="1"/>
  <c r="F39" i="4"/>
  <c r="O38" i="4"/>
  <c r="F38" i="4"/>
  <c r="R38" i="4" s="1"/>
  <c r="S38" i="4" s="1"/>
  <c r="O37" i="4"/>
  <c r="R37" i="4" s="1"/>
  <c r="S37" i="4" s="1"/>
  <c r="F37" i="4"/>
  <c r="O36" i="4"/>
  <c r="R36" i="4" s="1"/>
  <c r="R42" i="4" s="1"/>
  <c r="R45" i="4" s="1"/>
  <c r="F36" i="4"/>
  <c r="F42" i="4" s="1"/>
  <c r="Q35" i="4"/>
  <c r="R35" i="4" s="1"/>
  <c r="S35" i="4" s="1"/>
  <c r="O35" i="4"/>
  <c r="F35" i="4"/>
  <c r="Q34" i="4"/>
  <c r="O34" i="4"/>
  <c r="R34" i="4" s="1"/>
  <c r="S34" i="4" s="1"/>
  <c r="F34" i="4"/>
  <c r="Q33" i="4"/>
  <c r="O33" i="4"/>
  <c r="K33" i="4"/>
  <c r="F33" i="4"/>
  <c r="R33" i="4" s="1"/>
  <c r="S33" i="4" s="1"/>
  <c r="P32" i="4"/>
  <c r="M32" i="4"/>
  <c r="L32" i="4"/>
  <c r="K32" i="4"/>
  <c r="J32" i="4"/>
  <c r="I32" i="4"/>
  <c r="D32" i="4"/>
  <c r="C32" i="4"/>
  <c r="O31" i="4"/>
  <c r="F31" i="4"/>
  <c r="H31" i="4" s="1"/>
  <c r="R31" i="4" s="1"/>
  <c r="S31" i="4" s="1"/>
  <c r="O30" i="4"/>
  <c r="H30" i="4"/>
  <c r="R30" i="4" s="1"/>
  <c r="S30" i="4" s="1"/>
  <c r="F30" i="4"/>
  <c r="F29" i="4"/>
  <c r="F28" i="4"/>
  <c r="F27" i="4"/>
  <c r="O26" i="4"/>
  <c r="R26" i="4" s="1"/>
  <c r="S26" i="4" s="1"/>
  <c r="H26" i="4"/>
  <c r="F26" i="4"/>
  <c r="Q26" i="4" s="1"/>
  <c r="F25" i="4"/>
  <c r="Q25" i="4" s="1"/>
  <c r="F24" i="4"/>
  <c r="O23" i="4"/>
  <c r="H23" i="4"/>
  <c r="R23" i="4" s="1"/>
  <c r="S23" i="4" s="1"/>
  <c r="F23" i="4"/>
  <c r="Q23" i="4" s="1"/>
  <c r="F22" i="4"/>
  <c r="Q22" i="4" s="1"/>
  <c r="H21" i="4"/>
  <c r="F21" i="4"/>
  <c r="O20" i="4"/>
  <c r="H20" i="4"/>
  <c r="R20" i="4" s="1"/>
  <c r="S20" i="4" s="1"/>
  <c r="F20" i="4"/>
  <c r="Q20" i="4" s="1"/>
  <c r="F19" i="4"/>
  <c r="Q19" i="4" s="1"/>
  <c r="F18" i="4"/>
  <c r="O17" i="4"/>
  <c r="R17" i="4" s="1"/>
  <c r="S17" i="4" s="1"/>
  <c r="H17" i="4"/>
  <c r="F17" i="4"/>
  <c r="Q17" i="4" s="1"/>
  <c r="F16" i="4"/>
  <c r="Q16" i="4" s="1"/>
  <c r="F15" i="4"/>
  <c r="O14" i="4"/>
  <c r="H14" i="4"/>
  <c r="R14" i="4" s="1"/>
  <c r="S14" i="4" s="1"/>
  <c r="F14" i="4"/>
  <c r="Q14" i="4" s="1"/>
  <c r="F13" i="4"/>
  <c r="E31" i="2"/>
  <c r="E29" i="2"/>
  <c r="E28" i="2"/>
  <c r="V39" i="4" l="1"/>
  <c r="X39" i="4" s="1"/>
  <c r="W20" i="4"/>
  <c r="Y20" i="4" s="1"/>
  <c r="V20" i="4"/>
  <c r="U20" i="4"/>
  <c r="T20" i="4"/>
  <c r="X20" i="4"/>
  <c r="V23" i="4"/>
  <c r="X23" i="4" s="1"/>
  <c r="U23" i="4"/>
  <c r="T23" i="4"/>
  <c r="V26" i="4"/>
  <c r="X26" i="4" s="1"/>
  <c r="U26" i="4"/>
  <c r="W26" i="4" s="1"/>
  <c r="T26" i="4"/>
  <c r="V14" i="4"/>
  <c r="U14" i="4"/>
  <c r="T14" i="4"/>
  <c r="X14" i="4" s="1"/>
  <c r="V17" i="4"/>
  <c r="U17" i="4"/>
  <c r="T17" i="4"/>
  <c r="W17" i="4" s="1"/>
  <c r="Y17" i="4" s="1"/>
  <c r="X17" i="4"/>
  <c r="U34" i="4"/>
  <c r="T34" i="4"/>
  <c r="X34" i="4" s="1"/>
  <c r="V34" i="4"/>
  <c r="W34" i="4" s="1"/>
  <c r="Y34" i="4" s="1"/>
  <c r="Q15" i="4"/>
  <c r="O15" i="4"/>
  <c r="Q24" i="4"/>
  <c r="O24" i="4"/>
  <c r="R24" i="4" s="1"/>
  <c r="S24" i="4" s="1"/>
  <c r="T31" i="4"/>
  <c r="X31" i="4" s="1"/>
  <c r="V31" i="4"/>
  <c r="U31" i="4"/>
  <c r="X33" i="4"/>
  <c r="W33" i="4"/>
  <c r="Y33" i="4" s="1"/>
  <c r="T33" i="4"/>
  <c r="V33" i="4"/>
  <c r="U33" i="4"/>
  <c r="S36" i="4"/>
  <c r="Q41" i="4"/>
  <c r="O41" i="4"/>
  <c r="R41" i="4" s="1"/>
  <c r="S41" i="4" s="1"/>
  <c r="H15" i="4"/>
  <c r="R15" i="4" s="1"/>
  <c r="S15" i="4" s="1"/>
  <c r="H24" i="4"/>
  <c r="Q18" i="4"/>
  <c r="O18" i="4"/>
  <c r="R18" i="4" s="1"/>
  <c r="S18" i="4" s="1"/>
  <c r="Q27" i="4"/>
  <c r="O27" i="4"/>
  <c r="V37" i="4"/>
  <c r="X37" i="4"/>
  <c r="W37" i="4"/>
  <c r="Y37" i="4" s="1"/>
  <c r="H18" i="4"/>
  <c r="H27" i="4"/>
  <c r="R27" i="4" s="1"/>
  <c r="S27" i="4" s="1"/>
  <c r="T35" i="4"/>
  <c r="W35" i="4" s="1"/>
  <c r="Y35" i="4" s="1"/>
  <c r="V35" i="4"/>
  <c r="U35" i="4"/>
  <c r="X35" i="4"/>
  <c r="Q21" i="4"/>
  <c r="O21" i="4"/>
  <c r="R21" i="4" s="1"/>
  <c r="S21" i="4" s="1"/>
  <c r="V38" i="4"/>
  <c r="W38" i="4" s="1"/>
  <c r="Y38" i="4" s="1"/>
  <c r="X38" i="4"/>
  <c r="V40" i="4"/>
  <c r="X40" i="4"/>
  <c r="W40" i="4"/>
  <c r="Y40" i="4" s="1"/>
  <c r="Q13" i="4"/>
  <c r="F32" i="4"/>
  <c r="Q28" i="4"/>
  <c r="U30" i="4"/>
  <c r="T30" i="4"/>
  <c r="H13" i="4"/>
  <c r="H16" i="4"/>
  <c r="H19" i="4"/>
  <c r="R19" i="4" s="1"/>
  <c r="S19" i="4" s="1"/>
  <c r="H22" i="4"/>
  <c r="R22" i="4" s="1"/>
  <c r="S22" i="4" s="1"/>
  <c r="H25" i="4"/>
  <c r="R25" i="4" s="1"/>
  <c r="S25" i="4" s="1"/>
  <c r="H28" i="4"/>
  <c r="R28" i="4" s="1"/>
  <c r="S28" i="4" s="1"/>
  <c r="H29" i="4"/>
  <c r="C45" i="4"/>
  <c r="J45" i="4"/>
  <c r="P45" i="4"/>
  <c r="O13" i="4"/>
  <c r="O16" i="4"/>
  <c r="O19" i="4"/>
  <c r="O22" i="4"/>
  <c r="O25" i="4"/>
  <c r="O28" i="4"/>
  <c r="O29" i="4"/>
  <c r="R29" i="4" s="1"/>
  <c r="S29" i="4" s="1"/>
  <c r="V30" i="4"/>
  <c r="D45" i="4"/>
  <c r="X43" i="4"/>
  <c r="X44" i="4" s="1"/>
  <c r="W43" i="4"/>
  <c r="V28" i="4" l="1"/>
  <c r="X28" i="4" s="1"/>
  <c r="U28" i="4"/>
  <c r="W28" i="4" s="1"/>
  <c r="Y28" i="4" s="1"/>
  <c r="T28" i="4"/>
  <c r="T29" i="4"/>
  <c r="X29" i="4" s="1"/>
  <c r="V29" i="4"/>
  <c r="U29" i="4"/>
  <c r="T15" i="4"/>
  <c r="W15" i="4" s="1"/>
  <c r="V15" i="4"/>
  <c r="X15" i="4" s="1"/>
  <c r="U15" i="4"/>
  <c r="W24" i="4"/>
  <c r="T24" i="4"/>
  <c r="V24" i="4"/>
  <c r="X24" i="4" s="1"/>
  <c r="U24" i="4"/>
  <c r="V41" i="4"/>
  <c r="W41" i="4" s="1"/>
  <c r="U41" i="4"/>
  <c r="T41" i="4"/>
  <c r="X41" i="4" s="1"/>
  <c r="T21" i="4"/>
  <c r="W21" i="4" s="1"/>
  <c r="Y21" i="4" s="1"/>
  <c r="X21" i="4"/>
  <c r="V21" i="4"/>
  <c r="U21" i="4"/>
  <c r="T27" i="4"/>
  <c r="W27" i="4" s="1"/>
  <c r="Y27" i="4" s="1"/>
  <c r="U27" i="4"/>
  <c r="X27" i="4"/>
  <c r="V27" i="4"/>
  <c r="T18" i="4"/>
  <c r="W18" i="4" s="1"/>
  <c r="U18" i="4"/>
  <c r="V18" i="4"/>
  <c r="X18" i="4" s="1"/>
  <c r="Y26" i="4"/>
  <c r="W30" i="4"/>
  <c r="V25" i="4"/>
  <c r="X25" i="4" s="1"/>
  <c r="U25" i="4"/>
  <c r="W25" i="4" s="1"/>
  <c r="Y25" i="4" s="1"/>
  <c r="T25" i="4"/>
  <c r="W23" i="4"/>
  <c r="Y23" i="4" s="1"/>
  <c r="V22" i="4"/>
  <c r="X22" i="4" s="1"/>
  <c r="U22" i="4"/>
  <c r="W22" i="4" s="1"/>
  <c r="T22" i="4"/>
  <c r="X30" i="4"/>
  <c r="S42" i="4"/>
  <c r="S45" i="4" s="1"/>
  <c r="V36" i="4"/>
  <c r="V42" i="4" s="1"/>
  <c r="V45" i="4" s="1"/>
  <c r="W31" i="4"/>
  <c r="Y31" i="4" s="1"/>
  <c r="W39" i="4"/>
  <c r="Y39" i="4" s="1"/>
  <c r="Y43" i="4"/>
  <c r="Y44" i="4" s="1"/>
  <c r="W44" i="4"/>
  <c r="W19" i="4"/>
  <c r="X19" i="4"/>
  <c r="V19" i="4"/>
  <c r="U19" i="4"/>
  <c r="T19" i="4"/>
  <c r="W14" i="4"/>
  <c r="Y14" i="4" s="1"/>
  <c r="R16" i="4"/>
  <c r="S16" i="4" s="1"/>
  <c r="H32" i="4"/>
  <c r="R13" i="4"/>
  <c r="O32" i="4"/>
  <c r="Q32" i="4"/>
  <c r="Y41" i="4" l="1"/>
  <c r="Y18" i="4"/>
  <c r="Y15" i="4"/>
  <c r="Y22" i="4"/>
  <c r="W16" i="4"/>
  <c r="X16" i="4"/>
  <c r="V16" i="4"/>
  <c r="U16" i="4"/>
  <c r="T16" i="4"/>
  <c r="Y19" i="4"/>
  <c r="W36" i="4"/>
  <c r="X36" i="4"/>
  <c r="X42" i="4" s="1"/>
  <c r="X45" i="4" s="1"/>
  <c r="W29" i="4"/>
  <c r="Y29" i="4" s="1"/>
  <c r="Y30" i="4"/>
  <c r="R32" i="4"/>
  <c r="S13" i="4"/>
  <c r="Y24" i="4"/>
  <c r="W42" i="4" l="1"/>
  <c r="W45" i="4" s="1"/>
  <c r="Y36" i="4"/>
  <c r="Y42" i="4" s="1"/>
  <c r="Y45" i="4" s="1"/>
  <c r="Y16" i="4"/>
  <c r="S32" i="4"/>
  <c r="V13" i="4"/>
  <c r="V32" i="4" s="1"/>
  <c r="U13" i="4"/>
  <c r="U32" i="4" s="1"/>
  <c r="T13" i="4"/>
  <c r="T32" i="4" s="1"/>
  <c r="X13" i="4" l="1"/>
  <c r="X32" i="4" s="1"/>
  <c r="W13" i="4"/>
  <c r="W32" i="4" l="1"/>
  <c r="Y13" i="4"/>
  <c r="Y32" i="4" s="1"/>
  <c r="D42" i="2" l="1"/>
  <c r="E37" i="2"/>
  <c r="E18" i="2"/>
  <c r="E42" i="2" s="1"/>
  <c r="E43" i="2" s="1"/>
  <c r="D12" i="2"/>
  <c r="E103" i="1" l="1"/>
  <c r="E78" i="1"/>
  <c r="E87" i="1"/>
  <c r="L66" i="3" l="1"/>
  <c r="K66" i="3"/>
  <c r="L65" i="3"/>
  <c r="K63" i="3"/>
  <c r="K12" i="3" l="1"/>
  <c r="E79" i="1" l="1"/>
  <c r="D144" i="1" l="1"/>
  <c r="E137" i="1" l="1"/>
  <c r="E123" i="1"/>
  <c r="E110" i="1"/>
  <c r="K32" i="3" l="1"/>
  <c r="K44" i="3"/>
  <c r="K40" i="3"/>
  <c r="K38" i="3" s="1"/>
  <c r="K33" i="3"/>
  <c r="K18" i="3"/>
  <c r="K19" i="3"/>
  <c r="K64" i="3"/>
  <c r="K60" i="3"/>
  <c r="K45" i="3"/>
  <c r="K43" i="3"/>
  <c r="K37" i="3"/>
  <c r="K35" i="3"/>
  <c r="K34" i="3"/>
  <c r="K23" i="3"/>
  <c r="K22" i="3"/>
  <c r="L61" i="3"/>
  <c r="L46" i="3"/>
  <c r="L39" i="3"/>
  <c r="L36" i="3"/>
  <c r="L27" i="3"/>
  <c r="L26" i="3"/>
  <c r="L25" i="3"/>
  <c r="L24" i="3"/>
  <c r="L20" i="3"/>
  <c r="L17" i="3"/>
  <c r="L15" i="3"/>
  <c r="I18" i="3"/>
  <c r="I29" i="3"/>
  <c r="I31" i="3"/>
  <c r="I57" i="3"/>
  <c r="I66" i="3"/>
  <c r="K42" i="3" l="1"/>
  <c r="I30" i="3"/>
  <c r="I58" i="3"/>
  <c r="I70" i="3" s="1"/>
  <c r="K31" i="3"/>
  <c r="K29" i="3"/>
  <c r="K30" i="3" s="1"/>
  <c r="K57" i="3" l="1"/>
  <c r="K58" i="3" s="1"/>
  <c r="K70" i="3" s="1"/>
  <c r="E129" i="1" l="1"/>
  <c r="D143" i="1"/>
  <c r="E86" i="1"/>
  <c r="H66" i="3" l="1"/>
  <c r="F66" i="3"/>
  <c r="E66" i="3"/>
  <c r="J64" i="3"/>
  <c r="L64" i="3" s="1"/>
  <c r="J63" i="3"/>
  <c r="L63" i="3" s="1"/>
  <c r="G63" i="3"/>
  <c r="J60" i="3"/>
  <c r="L60" i="3" s="1"/>
  <c r="G60" i="3"/>
  <c r="G54" i="3"/>
  <c r="J45" i="3"/>
  <c r="L45" i="3" s="1"/>
  <c r="J44" i="3"/>
  <c r="L44" i="3" s="1"/>
  <c r="J43" i="3"/>
  <c r="L43" i="3" s="1"/>
  <c r="J40" i="3"/>
  <c r="G38" i="3"/>
  <c r="J37" i="3"/>
  <c r="L37" i="3" s="1"/>
  <c r="G36" i="3"/>
  <c r="F36" i="3"/>
  <c r="J35" i="3"/>
  <c r="L35" i="3" s="1"/>
  <c r="H35" i="3"/>
  <c r="E35" i="3"/>
  <c r="J34" i="3"/>
  <c r="L34" i="3" s="1"/>
  <c r="H34" i="3"/>
  <c r="E34" i="3"/>
  <c r="J33" i="3"/>
  <c r="L33" i="3" s="1"/>
  <c r="H33" i="3"/>
  <c r="G33" i="3"/>
  <c r="G31" i="3" s="1"/>
  <c r="F33" i="3"/>
  <c r="F31" i="3" s="1"/>
  <c r="E33" i="3"/>
  <c r="J32" i="3"/>
  <c r="L32" i="3" s="1"/>
  <c r="H32" i="3"/>
  <c r="E32" i="3"/>
  <c r="J23" i="3"/>
  <c r="L23" i="3" s="1"/>
  <c r="J22" i="3"/>
  <c r="L22" i="3" s="1"/>
  <c r="H22" i="3"/>
  <c r="H29" i="3" s="1"/>
  <c r="G22" i="3"/>
  <c r="G29" i="3" s="1"/>
  <c r="F22" i="3"/>
  <c r="F29" i="3" s="1"/>
  <c r="E22" i="3"/>
  <c r="E29" i="3" s="1"/>
  <c r="J19" i="3"/>
  <c r="L19" i="3" s="1"/>
  <c r="G18" i="3"/>
  <c r="F18" i="3"/>
  <c r="H17" i="3"/>
  <c r="E17" i="3"/>
  <c r="J12" i="3"/>
  <c r="H12" i="3"/>
  <c r="E12" i="3"/>
  <c r="L29" i="3" l="1"/>
  <c r="G66" i="3"/>
  <c r="J18" i="3"/>
  <c r="L12" i="3"/>
  <c r="L18" i="3" s="1"/>
  <c r="J38" i="3"/>
  <c r="L38" i="3" s="1"/>
  <c r="L40" i="3"/>
  <c r="F57" i="3"/>
  <c r="E31" i="3"/>
  <c r="E57" i="3" s="1"/>
  <c r="E18" i="3"/>
  <c r="E30" i="3" s="1"/>
  <c r="J29" i="3"/>
  <c r="J66" i="3"/>
  <c r="F30" i="3"/>
  <c r="H31" i="3"/>
  <c r="H57" i="3" s="1"/>
  <c r="L31" i="3"/>
  <c r="H18" i="3"/>
  <c r="H30" i="3" s="1"/>
  <c r="J31" i="3"/>
  <c r="G30" i="3"/>
  <c r="G57" i="3"/>
  <c r="J42" i="3"/>
  <c r="L42" i="3" s="1"/>
  <c r="L30" i="3" l="1"/>
  <c r="J30" i="3"/>
  <c r="G58" i="3"/>
  <c r="G70" i="3" s="1"/>
  <c r="L57" i="3"/>
  <c r="L58" i="3" s="1"/>
  <c r="L70" i="3" s="1"/>
  <c r="E58" i="3"/>
  <c r="E70" i="3" s="1"/>
  <c r="F58" i="3"/>
  <c r="F70" i="3" s="1"/>
  <c r="H58" i="3"/>
  <c r="H70" i="3" s="1"/>
  <c r="J57" i="3"/>
  <c r="J58" i="3" s="1"/>
  <c r="J70" i="3" s="1"/>
  <c r="E124" i="1" l="1"/>
  <c r="E145" i="1" s="1"/>
  <c r="D22" i="1" l="1"/>
  <c r="D51" i="1" l="1"/>
  <c r="D33" i="1" l="1"/>
  <c r="D32" i="1"/>
  <c r="D145" i="1" l="1"/>
  <c r="E147" i="1" s="1"/>
</calcChain>
</file>

<file path=xl/comments1.xml><?xml version="1.0" encoding="utf-8"?>
<comments xmlns="http://schemas.openxmlformats.org/spreadsheetml/2006/main">
  <authors>
    <author>Пользователь</author>
  </authors>
  <commentList>
    <comment ref="J27" authorId="0" shapeId="0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  <charset val="204"/>
          </rPr>
          <t>УГНС</t>
        </r>
      </text>
    </comment>
  </commentList>
</comments>
</file>

<file path=xl/sharedStrings.xml><?xml version="1.0" encoding="utf-8"?>
<sst xmlns="http://schemas.openxmlformats.org/spreadsheetml/2006/main" count="358" uniqueCount="270">
  <si>
    <t>№</t>
  </si>
  <si>
    <t>Мекеменин аталыша</t>
  </si>
  <si>
    <t>Статья</t>
  </si>
  <si>
    <t>Кыскартылган (кирешеге кошулган)
сумма</t>
  </si>
  <si>
    <t>Иш чаранын аталышы</t>
  </si>
  <si>
    <t>Жалал-Абад шаарынын мэриясы</t>
  </si>
  <si>
    <t>Мамлекеттик сатып алуулар порталындагы жарыялардан үнөмдөлгөн каражаттар</t>
  </si>
  <si>
    <t>Шаардык кенеш</t>
  </si>
  <si>
    <t>Т.Тайгараев атындагы МАБ</t>
  </si>
  <si>
    <t>Капиталдык курулуш департаменти</t>
  </si>
  <si>
    <t>Шаардык жолдор башкармалыгы</t>
  </si>
  <si>
    <t>"Жалал-Абад Тазалык" мекемеси</t>
  </si>
  <si>
    <t>Коммуналдык чарба департаменти</t>
  </si>
  <si>
    <t>Жашылдандыруу чарбасы</t>
  </si>
  <si>
    <t>Курманбек стадион</t>
  </si>
  <si>
    <t>Маалымат борбору</t>
  </si>
  <si>
    <t>Мектептер</t>
  </si>
  <si>
    <t>Бала бакчалар</t>
  </si>
  <si>
    <t>Спутник аймактык башкармалыгы</t>
  </si>
  <si>
    <t>М.Т.Конгантиев атындагы МАБ</t>
  </si>
  <si>
    <t>Кайрымдуулук борбору</t>
  </si>
  <si>
    <t>Кошумча суралган сумма</t>
  </si>
  <si>
    <t>Мамлекеттик сатып алуулар порталына жарыяланган тендерден үнөмдөө</t>
  </si>
  <si>
    <t>Шаардык жол башкармалыгы</t>
  </si>
  <si>
    <t>ПСД, АГЗ жасатууга</t>
  </si>
  <si>
    <t>ГСМ сатып алууга</t>
  </si>
  <si>
    <t>Көмүр сатып алууга (400т*6000 с)</t>
  </si>
  <si>
    <t>"Жалал-Абад Жылуулук" мекемеси</t>
  </si>
  <si>
    <t>Жер ресурстар башкармалыгы</t>
  </si>
  <si>
    <t>Мектептен сырткаркы мекемелер</t>
  </si>
  <si>
    <t>Ден-соолукту чыңдоочу комплекс</t>
  </si>
  <si>
    <t>Мекеме жоюлгандан кийин иштетилбей калган каражат</t>
  </si>
  <si>
    <t>Муниципалдык мүлк башкармалыгы</t>
  </si>
  <si>
    <t>Ипотекалык батирлердин иш-кагаздарын даярдоого каралган каражат</t>
  </si>
  <si>
    <t>Жалпы</t>
  </si>
  <si>
    <t>Электроэнегргиясына кошумча</t>
  </si>
  <si>
    <t>Керек-жарак рыногу жана кызмат көрсөтүү департаментинин иш кагаздарын архивге тапшырууга</t>
  </si>
  <si>
    <t>Кызматкерлерди окутууга</t>
  </si>
  <si>
    <t>Маданият сарайы</t>
  </si>
  <si>
    <t>Майрамдык күндөрдө иштеген үчүн жумушчулардын эмгек акысына кошумча каражат</t>
  </si>
  <si>
    <t>Электр материалдарын алууга</t>
  </si>
  <si>
    <t>Темир бетон арык куурларын орнотууга</t>
  </si>
  <si>
    <t>Арка реконструкциясына</t>
  </si>
  <si>
    <t>Коп кабаттуу үйлөрдү сырдоого</t>
  </si>
  <si>
    <t>Электр энергиясын төлөөгө</t>
  </si>
  <si>
    <t>Автоунаа базарынын тазалыгына (11 ай*13000)</t>
  </si>
  <si>
    <t>Шабдалызар базарына сууга төлөм (8 ай*3300с)</t>
  </si>
  <si>
    <t>Ар түрдүү чыгымдар</t>
  </si>
  <si>
    <t xml:space="preserve">Жалал-Абад шаарынын 2025-жылдагы бюджетине өзгөртүүлөр боюнча түшүндүрмө каты (атайын эсеп)
</t>
  </si>
  <si>
    <t>ИИМ видеокөзөмөлүнө абоненттик төлөм</t>
  </si>
  <si>
    <t>№26 бала бакчага электропечь алууга</t>
  </si>
  <si>
    <t>№8 бала бакчанын суу түтүктөрүн алмаштырууга</t>
  </si>
  <si>
    <t>3 кварталга тамак-аш азыктарын алууга</t>
  </si>
  <si>
    <t>Кызматкерлердин сапар чыгымдарына (ДТЦ)</t>
  </si>
  <si>
    <t xml:space="preserve">Жалал-Абад шаарынын 2025-жылдагы бюджетине өзгөртүүлөр боюнча түшүндүрмө каты
</t>
  </si>
  <si>
    <t>Кошумча суралган чыгымдар</t>
  </si>
  <si>
    <t>Мүлктөрдү баалоого</t>
  </si>
  <si>
    <t>Эмерек базарына ворота</t>
  </si>
  <si>
    <t xml:space="preserve">Автоунаа базарына МЕГАпей кызмат акысы </t>
  </si>
  <si>
    <t>Курулуш маркеттин трансформаторунун ремонтуна</t>
  </si>
  <si>
    <t>Тарифтин кымбатташы жана кызматкерлерге кошумча</t>
  </si>
  <si>
    <t>М.Т.Аттокуровдун пайдасына (милд. чечим)</t>
  </si>
  <si>
    <t>Жалал-Абад шаарынын границасын тактоого ГПИ Кыргыз гипрозем Жалал-Абад филиалына докум даярдоо</t>
  </si>
  <si>
    <t>А.Азимканов коч. Кенейт. (Курулушуна)</t>
  </si>
  <si>
    <t>Горкий коч. Кенейт. (Курулушуна)</t>
  </si>
  <si>
    <t>В.Л.Крючкова соттун чечиминин негизинде 8%</t>
  </si>
  <si>
    <t>гос. пошлина В.Л.Крючкова</t>
  </si>
  <si>
    <t>В.Л.Крючкова соттун чечиминин негизинде</t>
  </si>
  <si>
    <t>Горкий коч. Кенейт. (Жерине)</t>
  </si>
  <si>
    <t>А.Азимканов коч. Кенейт. (Жерине)</t>
  </si>
  <si>
    <t>Токтогул көчөсүнө жол куруу (Ж.Бакиев көчөсүнөн Т.Байзаков көчөсүнө чейин)</t>
  </si>
  <si>
    <t>Шаар аймагына суу чыгарууга</t>
  </si>
  <si>
    <t>Бахрейн шаарчасынын курулуштарына тийиштүү иш кагаздарын алууга. (Штраф)</t>
  </si>
  <si>
    <t>Кыргыз гипрозем (Бишкек) Lidar ген. План даярдоого</t>
  </si>
  <si>
    <t>Программа сатып алууга кошумча</t>
  </si>
  <si>
    <t>Киреше бөлүгүнө кошумча план</t>
  </si>
  <si>
    <t>Киреше бөлүгүнө кошумча план (Парковка)</t>
  </si>
  <si>
    <t>Киреше бөлүгүнө кошумча план (Мүлк ижарасы)</t>
  </si>
  <si>
    <t>Киреше бөлүгүнө кошумча план (Жер ижарасы)</t>
  </si>
  <si>
    <t>Киреше бөлүгүнө кошумча план (Курулуш базары)</t>
  </si>
  <si>
    <t>Жалал-Абад Тазалык</t>
  </si>
  <si>
    <t>Эсептөө палатасынын буйругуна ылайык кыскартуу\</t>
  </si>
  <si>
    <t>Лозунг жасатууга</t>
  </si>
  <si>
    <t>Концелярдык товарларды сатып алууга</t>
  </si>
  <si>
    <t>Шаар аймагына таштанды таштоочу жайларга коюучу көзөмөл камералардын интернет менен камсыз кылууга (камер 7 даана*0,5 =3,5 миң сом)</t>
  </si>
  <si>
    <t>Сууга төлөм-30,0 мин сом, электрэнергиясына-6,0 мин сом</t>
  </si>
  <si>
    <t>Таштанды таштоочу жайларды  бетондоп тегиздөөгө</t>
  </si>
  <si>
    <t>Тротуар курууга керектелүүчү чарбалык материалдарга каралган каражаттан</t>
  </si>
  <si>
    <t>Маяковский көчөсүн кенейт (Курулуш)</t>
  </si>
  <si>
    <t>№9 орто мектебине эмеректерди алууга</t>
  </si>
  <si>
    <t>№13 орто мектебинин саркындысын оңдоп-түзөөгө</t>
  </si>
  <si>
    <t>Айым-Арал жана Масадан бала бакчаларына жабдууларды алууга</t>
  </si>
  <si>
    <t>Айым-Арал жана Масадан бала бакчаларына эмеректерин алууга</t>
  </si>
  <si>
    <t>4 даана желмаян алууга (130,0*4=520,0)</t>
  </si>
  <si>
    <t>Билинг системасын орнотууга кошумча</t>
  </si>
  <si>
    <t>17 кызматкерге компенсация (3,0 миң сомдон*6 айга)</t>
  </si>
  <si>
    <t>Керек-жарак рыногу жана кызмат көрсөтүү департаменти</t>
  </si>
  <si>
    <t>Гирлянда алууга</t>
  </si>
  <si>
    <t>Насыяны кайтарууга</t>
  </si>
  <si>
    <t>Битум сатып алууга</t>
  </si>
  <si>
    <t>Эмерек алууга (9 үйгө)</t>
  </si>
  <si>
    <t>Муниципалдык базардын автордук көзөмөлүнө</t>
  </si>
  <si>
    <t>Элемент
(8)</t>
  </si>
  <si>
    <t xml:space="preserve">Киреше  булактарынын аттары. </t>
  </si>
  <si>
    <t>2023-жылга факт</t>
  </si>
  <si>
    <t>2024-жылга бекитилген план</t>
  </si>
  <si>
    <t>2024-жылга такталган план</t>
  </si>
  <si>
    <t>2024-жылдын 12-айынын фактысы</t>
  </si>
  <si>
    <t>Кыргыз Республикасынын резиденттери-жеке жактардан алынуучу киреше салыгы</t>
  </si>
  <si>
    <t>Милдеттүү патенттин негизинде салык</t>
  </si>
  <si>
    <t>Ыктыярдуу патенттин негизинде салык</t>
  </si>
  <si>
    <t>Патенттин негизинде салык</t>
  </si>
  <si>
    <t>Чекене сооданын негизинде салык салуунун жонокойлотулгон системасы боюнча салык</t>
  </si>
  <si>
    <t>Роялти</t>
  </si>
  <si>
    <t>Жалпы мамлекеттик салыктардын жыйынтыгы</t>
  </si>
  <si>
    <t>Турак жайга же жайга мүлк салыгы</t>
  </si>
  <si>
    <t>Турак жай эмес имаратка жана жайга мүлк салыгы</t>
  </si>
  <si>
    <t>3-топтогу ишкердик иши үчүн пайдаланылган кыймылсыз мүлккө салык</t>
  </si>
  <si>
    <t>Кыймылдуу мүлккө салык (транспорттук каражаттарга)</t>
  </si>
  <si>
    <t>Жанаша, короо жай жана багбанчылык-огород жер участокторуна мүлк салыгы</t>
  </si>
  <si>
    <t>Айыл чарба жерлерине тиешелүү жерлерге мүлк салыгы</t>
  </si>
  <si>
    <t>Калктуу конуштардын жерлерине жана айыл чарба багытында болбогон жерлерге мүлк салыгы</t>
  </si>
  <si>
    <t>Калктуу пункттардын таштандысын чыгаруу үчүн жыйым</t>
  </si>
  <si>
    <t>Жергиликтүү маанидеги инфраструктураны өнүктүрүүгө жана күтүүгө чегерүүлөр</t>
  </si>
  <si>
    <t>Жергиликтуу бюджеттин башка жана болок салыктары</t>
  </si>
  <si>
    <t>Бекитилген кирешелердин жыйынтыгы</t>
  </si>
  <si>
    <t>Салык кызматтары аркылуу чогултулган киреше</t>
  </si>
  <si>
    <t>Калктуу конуштарда жер ижарасы үчүн акы, анын ичинен:</t>
  </si>
  <si>
    <t xml:space="preserve">Шаардык жер ресурстар башкармалыгы </t>
  </si>
  <si>
    <t>Курулуш базарынан түшүүчү киреше</t>
  </si>
  <si>
    <t>Жаны муниципалдык базар (Шабдалы-Зар)</t>
  </si>
  <si>
    <t>Жайыт жерлерди пайдалануу үчүн жыйым</t>
  </si>
  <si>
    <t>Айыл чарбасына жарактуу жерлердин мамлекеттик фондунун жерлерин иштетүү үчүн ижара акысы (ФПЗ)</t>
  </si>
  <si>
    <t>Муниципалдык менчикте турган жайлардын, имараттардын, курулмалардын, жабдуулардын жана техникалардын ижара акысы</t>
  </si>
  <si>
    <t>Жер ресурстары башкармалыгы</t>
  </si>
  <si>
    <t>Дагы башка мүлк ижарасы үчүн акы</t>
  </si>
  <si>
    <t>Автотранспортту парковкалоо жана автотоктотмо үчүн жыйымдар</t>
  </si>
  <si>
    <t>Дагы башка төлөмдөр (Сертификаттарды жана башка уруксат беруучу документтердин акысы)</t>
  </si>
  <si>
    <t>Алкоголдук продукцияны сатууга лицензия алган субъекттерден этил спирттин жана алкоголдук продукцияны өндүрүү жана жүгүртүү боюнча ишти ишке ашыруу үчүн жыйым</t>
  </si>
  <si>
    <t>Жер казынасын пайдалануу укугуна лицензияны кармоо үчүн акы</t>
  </si>
  <si>
    <t>Контролдук-көзөмөл чараларын жүргүзүүдөн түшүүлөр</t>
  </si>
  <si>
    <t>Экономикалык кылмыштар боюнча келтирилген зыяндын ордун толтуруу</t>
  </si>
  <si>
    <t>Мамлекеттин пайдасына айлантылган кирешелер</t>
  </si>
  <si>
    <t>Жеңил автомобилдерди сатуу</t>
  </si>
  <si>
    <t>Институционалдык имаратарды сатуу</t>
  </si>
  <si>
    <t>Башка имараттарды сатуу</t>
  </si>
  <si>
    <t>Жук ташуучу машиналарды сатуу</t>
  </si>
  <si>
    <t>Башка транспорт каражаттарын сатуу</t>
  </si>
  <si>
    <t>Жер ресурстары башкармалыгы, Муниципалдык мүлк башкармалыгы аркылуу чогултулган жыйымдар жана төлөмдөр</t>
  </si>
  <si>
    <t xml:space="preserve">Жалпы салык жана салык эмес  кирешелер </t>
  </si>
  <si>
    <t>Атайын төлөмдөрдөн түшүүчү кирешелер</t>
  </si>
  <si>
    <t>Мектепке чейинки жана мектеп мекемелерине кошумча кызмат көрсөтүү акысы</t>
  </si>
  <si>
    <t>Классификацияланбаган билим берүү жана маданият кызмат көрсөт. үчүн акы</t>
  </si>
  <si>
    <t xml:space="preserve">Маалымат берүү жана басып чыгаруу  боюнча классификацияланбаган кызмат көрсөтүүлөр акысы </t>
  </si>
  <si>
    <t>Кызмат көрсөтүүнүн башка классификацияланбаган түрлөрү үчүн акы</t>
  </si>
  <si>
    <t>Учурдагы жардам</t>
  </si>
  <si>
    <t>Капиталдык жардам</t>
  </si>
  <si>
    <t>Атайын төлөмдөрдөн түшүүчү кирешелердин жыйынтыгы</t>
  </si>
  <si>
    <t>Республикалык бюджеттен тушуучу каражат (максаттуу трансферттер)</t>
  </si>
  <si>
    <t>Теңдөөчү трансферттер (грант)</t>
  </si>
  <si>
    <t>Жергиликтүү бюджеттер арасында максаттуу трансферттер</t>
  </si>
  <si>
    <t>Жалпы кирешелер жана атайын төлөмдөр</t>
  </si>
  <si>
    <t>Архитектура кызмат акысына</t>
  </si>
  <si>
    <t>Хим лабораториясына реактивдерди алууга</t>
  </si>
  <si>
    <t>1 даана желмаян алууга</t>
  </si>
  <si>
    <t>2025-жылга бекитилген  бюджет</t>
  </si>
  <si>
    <t>2025-жылга КР ФМ сунушу</t>
  </si>
  <si>
    <t>Айырма</t>
  </si>
  <si>
    <t>2025-жылга такталган план</t>
  </si>
  <si>
    <t>2025-жылга Жалал-Абад  шаарынын  шаардык бюджетинин кирешелер боюнча такталган долбоору</t>
  </si>
  <si>
    <t xml:space="preserve">Абонент жана бухгалтерия бөлүмүнө 1С программасына өзгөртүүлөрдү киргизүү үчүн-200,0 мин сом, мекеменин айланасына көзөмөл камера орнотуу учун-5даана көзөмөл камерасы*1,0 мин сом =5,0мин сом, мекемеге алынуучу кондиционер 4 даана *5,0 мин  сом=20,0 мин сом </t>
  </si>
  <si>
    <t>Офистик креслону сатып алууга-22,0 мин сом, компьютер 4 даана*45,0 минден=180,0 мин сом, көзөмөл камера 5 даана*5,0 мин=25,0 мин сом, кондиционер 4 даага*30,0=120,0 мин сом, чек аппаратын алууга - 34,0 миң</t>
  </si>
  <si>
    <t xml:space="preserve">Мекемени учурдагы ондоп түзөө иштерине  </t>
  </si>
  <si>
    <t>Жарыктандырууга (Сузак круговой, Ынтымак круговой)</t>
  </si>
  <si>
    <t>Жол сызыктарына тиешелүү материалдарды улууга</t>
  </si>
  <si>
    <t>Жол сызыктарын чийүүчү жабдуу алууга</t>
  </si>
  <si>
    <t>Соц объекттерди жарыктандырууга каралган каражат</t>
  </si>
  <si>
    <t>Столбаларга орнаменттерди орнотууга</t>
  </si>
  <si>
    <t>Эл аралык уюмдарга мүчө төлөмү</t>
  </si>
  <si>
    <t>Тамак аш компенсациясына</t>
  </si>
  <si>
    <t>Сууканал башкармалыгы</t>
  </si>
  <si>
    <t>№14 орто мектебинин ашканасына жабдууларды алууга</t>
  </si>
  <si>
    <t>Рация алууга (ШИИБ)</t>
  </si>
  <si>
    <t>Шатер алууга</t>
  </si>
  <si>
    <t>Темир тосмо жасоого материалдарын алууга</t>
  </si>
  <si>
    <t>Теле-кызмат акысы (журналисттерге)</t>
  </si>
  <si>
    <t>Чөп оруучу аппарат сатып алууга</t>
  </si>
  <si>
    <t>Курулуштарга кошумча</t>
  </si>
  <si>
    <t>ММБ жыл башына калган калдыгын жылдырууга</t>
  </si>
  <si>
    <t xml:space="preserve">1 кызматкерге бирдик салууга (250с*1 кызматкер*7ай), 2 кызматкерге кошумча (250+200*7ай) </t>
  </si>
  <si>
    <t>Шаардык   кеңештин</t>
  </si>
  <si>
    <t>№ 1-тиркеме</t>
  </si>
  <si>
    <t>Курулуштарга каралган каражаттан</t>
  </si>
  <si>
    <t>Шагыл төгүүгө</t>
  </si>
  <si>
    <t>*</t>
  </si>
  <si>
    <t>Көчөлөрдү жарыктандырууга</t>
  </si>
  <si>
    <t>Спонсордук капиталдык жардам</t>
  </si>
  <si>
    <t>МСК кошумча киреше (киреше  салыгы)</t>
  </si>
  <si>
    <t>Бюджттин киреше бөлүгүн көбөйтүү</t>
  </si>
  <si>
    <t>Шаардык эмгек, социалдык камсыздоо жана миграция башкармалыгы</t>
  </si>
  <si>
    <t>Т.Байзаков/Ж.Абдурахманов көчөлөрүнүн кесилишиндеги айланпаны (автобекет) реконструкциялоо, жашылдандыруу, көрктөндүрүү иштерине</t>
  </si>
  <si>
    <t>Жалал-Абад шаарынын  мэриясы</t>
  </si>
  <si>
    <t>Стелла (флагшток)</t>
  </si>
  <si>
    <t>29.05.2025-жылдагы</t>
  </si>
  <si>
    <t>IX сессиясынын</t>
  </si>
  <si>
    <t>№1-токтомуна</t>
  </si>
  <si>
    <t>№ 2-тиркеме</t>
  </si>
  <si>
    <t>№ 3-тиркеме</t>
  </si>
  <si>
    <t xml:space="preserve">Жооптуу катчы </t>
  </si>
  <si>
    <t>Г.Осмонова</t>
  </si>
  <si>
    <t>Жооптуу катчы</t>
  </si>
  <si>
    <t xml:space="preserve">Вулканизация кызматына-40,0 мин сом, майлоочу майларга-67,5 мин сом, мэрия тарабынан жаны келуучу техникаларына куйуучу майларды сатып алууга-4005,5 мин сом </t>
  </si>
  <si>
    <t>Кошумча жаңы 11 штаттык бирдик кошууга (4 айдоочу, 4 жумушчу, 3 көзөмөлдөөчү)</t>
  </si>
  <si>
    <t>Кызматтын аталышы</t>
  </si>
  <si>
    <t>Бирдиктердин саны</t>
  </si>
  <si>
    <t>Базалык ставка</t>
  </si>
  <si>
    <t xml:space="preserve">Коэффициент </t>
  </si>
  <si>
    <t>Кызматтык маяна</t>
  </si>
  <si>
    <t>Үстөктөр жана кошумча акылар</t>
  </si>
  <si>
    <t>Бир айлык эмгек акы 
(бир кишиге)</t>
  </si>
  <si>
    <t xml:space="preserve">Жалпы бир айлык эмгек акы </t>
  </si>
  <si>
    <t>Эмгек өргү</t>
  </si>
  <si>
    <t>2 эмгек өргүүгө каралган даарылануучу жөлөк пул</t>
  </si>
  <si>
    <t>13 эмгек акы</t>
  </si>
  <si>
    <t xml:space="preserve">Эмгек акы жылдык фонду </t>
  </si>
  <si>
    <t xml:space="preserve">Социалдык фондко төлөөгө </t>
  </si>
  <si>
    <t xml:space="preserve">Эмгек акы төлөмдөрүнүн жылдык фонду </t>
  </si>
  <si>
    <t>Эмгек стаж (мамлекеттик /муницип. ж.б стаж)</t>
  </si>
  <si>
    <t>Класстык чин</t>
  </si>
  <si>
    <t>Иштин жашырын мунозу учун кошумча устоктор, 25%</t>
  </si>
  <si>
    <t>Жумуштун оордугуна кошумча төлөм,  25% (мэрия, кенеш), 10%  (структуралык мекемелер)</t>
  </si>
  <si>
    <t>Шаардык кенештен кошулган үстөктөр</t>
  </si>
  <si>
    <t>КР Өкмөтү тарабынан кошулуучу бөлөк үстөктөр</t>
  </si>
  <si>
    <t>%</t>
  </si>
  <si>
    <t>сумма</t>
  </si>
  <si>
    <t>Жетекчи</t>
  </si>
  <si>
    <t>Башкы эсепчи</t>
  </si>
  <si>
    <t>Башкы адис диспетчер</t>
  </si>
  <si>
    <t>Башкы адис кардарлар болуму</t>
  </si>
  <si>
    <t>Башкы адис-юрист</t>
  </si>
  <si>
    <t>Үнөмдөөчү</t>
  </si>
  <si>
    <t>Эсепчи</t>
  </si>
  <si>
    <t>Механик</t>
  </si>
  <si>
    <t>Адис кадр болуму</t>
  </si>
  <si>
    <t>Оператор</t>
  </si>
  <si>
    <t>Адис-тех-лык коопсуздук</t>
  </si>
  <si>
    <t>Кардарлар болуму жетектоочу адис</t>
  </si>
  <si>
    <t>Нарколог</t>
  </si>
  <si>
    <t>Казыначы</t>
  </si>
  <si>
    <t>Казыначы оператор</t>
  </si>
  <si>
    <t>Чарба башчы (Кампачы)</t>
  </si>
  <si>
    <t>Жетектоочу адис-юрист</t>
  </si>
  <si>
    <t>Инспектор абонент болуму</t>
  </si>
  <si>
    <t>Бригадир</t>
  </si>
  <si>
    <t>Жалпы ТТП</t>
  </si>
  <si>
    <t>Мергенчи</t>
  </si>
  <si>
    <t>Мергенчи (бригадир)</t>
  </si>
  <si>
    <t>Тазалыкты сактоочу</t>
  </si>
  <si>
    <t>Айдоочу</t>
  </si>
  <si>
    <t>Тракторист</t>
  </si>
  <si>
    <t>Ширетуучу, электрик козомол</t>
  </si>
  <si>
    <t>Слесарь (Токарь)</t>
  </si>
  <si>
    <t>Жумушчу</t>
  </si>
  <si>
    <t>Кароолчу</t>
  </si>
  <si>
    <t>Жалпы КТП</t>
  </si>
  <si>
    <t>Козомолдоочу (контролер)</t>
  </si>
  <si>
    <t>Келишимдин негизинде КТП</t>
  </si>
  <si>
    <t>Жалпы эсеби</t>
  </si>
  <si>
    <t>№ 2а-тиркеме</t>
  </si>
  <si>
    <t>"Жалал-Абад тазалык" муниципалдык мекемесинин  атайын эсебинен каржылануучу кошумча штаттык ырааттамасы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</si>
</sst>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0.0"/>
  </numFmts>
  <fonts count="45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 CE"/>
      <family val="1"/>
      <charset val="238"/>
    </font>
    <font>
      <sz val="10"/>
      <name val="Times New Roman CE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 CE"/>
      <family val="1"/>
      <charset val="238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04"/>
    </font>
    <font>
      <b/>
      <sz val="10"/>
      <color theme="1"/>
      <name val="Times New Roman CE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E"/>
      <charset val="204"/>
    </font>
    <font>
      <i/>
      <sz val="10"/>
      <color theme="1"/>
      <name val="Times New Roman CE"/>
      <charset val="204"/>
    </font>
    <font>
      <sz val="10"/>
      <name val="Times New Roman CE"/>
      <family val="1"/>
      <charset val="204"/>
    </font>
    <font>
      <sz val="10"/>
      <color theme="1"/>
      <name val="Times New Roman CE"/>
      <charset val="204"/>
    </font>
    <font>
      <sz val="10"/>
      <color theme="1"/>
      <name val="Times New Roman CE"/>
      <family val="1"/>
      <charset val="204"/>
    </font>
    <font>
      <i/>
      <sz val="10"/>
      <name val="Times New Roman CE"/>
      <family val="1"/>
      <charset val="204"/>
    </font>
    <font>
      <i/>
      <sz val="10"/>
      <color theme="1"/>
      <name val="Times New Roman CE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theme="1"/>
      <name val="Times New Roman CE"/>
      <charset val="204"/>
    </font>
    <font>
      <b/>
      <sz val="10"/>
      <name val="Times New Roman CE"/>
      <charset val="204"/>
    </font>
    <font>
      <sz val="11"/>
      <name val="Times New Roman"/>
      <family val="1"/>
      <charset val="204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0" fontId="9" fillId="0" borderId="0"/>
    <xf numFmtId="0" fontId="9" fillId="0" borderId="0"/>
    <xf numFmtId="43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</cellStyleXfs>
  <cellXfs count="240">
    <xf numFmtId="0" fontId="0" fillId="0" borderId="0" xfId="0"/>
    <xf numFmtId="0" fontId="2" fillId="0" borderId="0" xfId="0" applyFont="1"/>
    <xf numFmtId="0" fontId="4" fillId="0" borderId="0" xfId="1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Alignment="1">
      <alignment vertical="center"/>
    </xf>
    <xf numFmtId="164" fontId="2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" fillId="2" borderId="0" xfId="0" applyFont="1" applyFill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1" applyFont="1"/>
    <xf numFmtId="0" fontId="7" fillId="0" borderId="0" xfId="0" applyFont="1"/>
    <xf numFmtId="165" fontId="4" fillId="0" borderId="2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8" fillId="0" borderId="0" xfId="0" applyNumberFormat="1" applyFont="1"/>
    <xf numFmtId="0" fontId="4" fillId="0" borderId="0" xfId="0" applyFont="1" applyAlignment="1">
      <alignment vertical="center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165" fontId="4" fillId="0" borderId="2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7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0" fillId="0" borderId="0" xfId="0" applyFont="1"/>
    <xf numFmtId="165" fontId="10" fillId="0" borderId="0" xfId="0" applyNumberFormat="1" applyFont="1"/>
    <xf numFmtId="0" fontId="10" fillId="0" borderId="0" xfId="0" applyFont="1" applyAlignment="1">
      <alignment vertical="center"/>
    </xf>
    <xf numFmtId="164" fontId="10" fillId="0" borderId="0" xfId="0" applyNumberFormat="1" applyFont="1"/>
    <xf numFmtId="0" fontId="10" fillId="2" borderId="0" xfId="0" applyFont="1" applyFill="1"/>
    <xf numFmtId="165" fontId="10" fillId="2" borderId="0" xfId="0" applyNumberFormat="1" applyFont="1" applyFill="1"/>
    <xf numFmtId="0" fontId="7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wrapText="1"/>
    </xf>
    <xf numFmtId="0" fontId="4" fillId="0" borderId="2" xfId="1" applyFont="1" applyBorder="1" applyAlignment="1">
      <alignment horizontal="center"/>
    </xf>
    <xf numFmtId="0" fontId="13" fillId="0" borderId="2" xfId="1" applyFont="1" applyBorder="1"/>
    <xf numFmtId="0" fontId="14" fillId="0" borderId="2" xfId="1" applyFont="1" applyBorder="1"/>
    <xf numFmtId="0" fontId="4" fillId="0" borderId="2" xfId="1" applyFont="1" applyBorder="1" applyAlignment="1">
      <alignment horizontal="left" vertical="center" wrapText="1"/>
    </xf>
    <xf numFmtId="1" fontId="11" fillId="0" borderId="2" xfId="1" applyNumberFormat="1" applyFont="1" applyBorder="1"/>
    <xf numFmtId="164" fontId="15" fillId="0" borderId="2" xfId="1" applyNumberFormat="1" applyFont="1" applyBorder="1"/>
    <xf numFmtId="164" fontId="11" fillId="0" borderId="2" xfId="1" applyNumberFormat="1" applyFont="1" applyBorder="1"/>
    <xf numFmtId="0" fontId="4" fillId="0" borderId="2" xfId="1" applyFont="1" applyBorder="1"/>
    <xf numFmtId="0" fontId="7" fillId="0" borderId="2" xfId="0" applyFont="1" applyBorder="1"/>
    <xf numFmtId="0" fontId="4" fillId="0" borderId="2" xfId="1" applyFont="1" applyBorder="1" applyAlignment="1">
      <alignment wrapText="1"/>
    </xf>
    <xf numFmtId="164" fontId="15" fillId="2" borderId="2" xfId="1" applyNumberFormat="1" applyFont="1" applyFill="1" applyBorder="1"/>
    <xf numFmtId="0" fontId="5" fillId="0" borderId="2" xfId="1" applyFont="1" applyBorder="1"/>
    <xf numFmtId="0" fontId="16" fillId="0" borderId="2" xfId="1" applyFont="1" applyBorder="1" applyAlignment="1">
      <alignment horizontal="center"/>
    </xf>
    <xf numFmtId="164" fontId="17" fillId="0" borderId="2" xfId="1" applyNumberFormat="1" applyFont="1" applyBorder="1"/>
    <xf numFmtId="164" fontId="18" fillId="0" borderId="2" xfId="1" applyNumberFormat="1" applyFont="1" applyBorder="1"/>
    <xf numFmtId="0" fontId="11" fillId="0" borderId="2" xfId="1" applyFont="1" applyBorder="1" applyAlignment="1">
      <alignment horizontal="left" vertical="center" wrapText="1"/>
    </xf>
    <xf numFmtId="164" fontId="16" fillId="0" borderId="2" xfId="1" applyNumberFormat="1" applyFont="1" applyBorder="1"/>
    <xf numFmtId="164" fontId="7" fillId="0" borderId="0" xfId="0" applyNumberFormat="1" applyFont="1"/>
    <xf numFmtId="0" fontId="16" fillId="0" borderId="2" xfId="1" applyFont="1" applyBorder="1" applyAlignment="1">
      <alignment horizontal="center" wrapText="1"/>
    </xf>
    <xf numFmtId="1" fontId="19" fillId="0" borderId="2" xfId="1" applyNumberFormat="1" applyFont="1" applyBorder="1"/>
    <xf numFmtId="164" fontId="20" fillId="0" borderId="2" xfId="1" applyNumberFormat="1" applyFont="1" applyBorder="1"/>
    <xf numFmtId="0" fontId="21" fillId="0" borderId="0" xfId="0" applyFont="1"/>
    <xf numFmtId="0" fontId="22" fillId="0" borderId="2" xfId="1" applyFont="1" applyBorder="1"/>
    <xf numFmtId="164" fontId="23" fillId="0" borderId="2" xfId="1" applyNumberFormat="1" applyFont="1" applyBorder="1"/>
    <xf numFmtId="164" fontId="24" fillId="0" borderId="2" xfId="1" applyNumberFormat="1" applyFont="1" applyBorder="1"/>
    <xf numFmtId="164" fontId="4" fillId="0" borderId="2" xfId="0" applyNumberFormat="1" applyFont="1" applyBorder="1"/>
    <xf numFmtId="0" fontId="13" fillId="0" borderId="2" xfId="1" applyFont="1" applyBorder="1" applyAlignment="1">
      <alignment vertical="center"/>
    </xf>
    <xf numFmtId="0" fontId="25" fillId="0" borderId="2" xfId="1" applyFont="1" applyBorder="1" applyAlignment="1">
      <alignment horizontal="left" vertical="center"/>
    </xf>
    <xf numFmtId="1" fontId="25" fillId="0" borderId="2" xfId="1" applyNumberFormat="1" applyFont="1" applyBorder="1"/>
    <xf numFmtId="164" fontId="26" fillId="0" borderId="2" xfId="1" applyNumberFormat="1" applyFont="1" applyBorder="1"/>
    <xf numFmtId="164" fontId="12" fillId="0" borderId="2" xfId="1" applyNumberFormat="1" applyFont="1" applyBorder="1"/>
    <xf numFmtId="164" fontId="27" fillId="0" borderId="2" xfId="1" applyNumberFormat="1" applyFont="1" applyBorder="1"/>
    <xf numFmtId="164" fontId="25" fillId="0" borderId="2" xfId="1" applyNumberFormat="1" applyFont="1" applyBorder="1"/>
    <xf numFmtId="0" fontId="22" fillId="0" borderId="2" xfId="1" applyFont="1" applyBorder="1" applyAlignment="1">
      <alignment wrapText="1"/>
    </xf>
    <xf numFmtId="1" fontId="28" fillId="0" borderId="2" xfId="1" applyNumberFormat="1" applyFont="1" applyBorder="1"/>
    <xf numFmtId="164" fontId="29" fillId="0" borderId="2" xfId="1" applyNumberFormat="1" applyFont="1" applyBorder="1"/>
    <xf numFmtId="164" fontId="28" fillId="0" borderId="2" xfId="1" applyNumberFormat="1" applyFont="1" applyBorder="1"/>
    <xf numFmtId="0" fontId="11" fillId="0" borderId="2" xfId="1" applyFont="1" applyBorder="1" applyAlignment="1">
      <alignment horizontal="left" vertical="center"/>
    </xf>
    <xf numFmtId="0" fontId="12" fillId="0" borderId="10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/>
    </xf>
    <xf numFmtId="0" fontId="13" fillId="0" borderId="2" xfId="3" applyFont="1" applyBorder="1"/>
    <xf numFmtId="0" fontId="13" fillId="0" borderId="2" xfId="3" applyFont="1" applyBorder="1" applyAlignment="1">
      <alignment wrapText="1"/>
    </xf>
    <xf numFmtId="164" fontId="30" fillId="0" borderId="2" xfId="3" applyNumberFormat="1" applyFont="1" applyBorder="1" applyAlignment="1">
      <alignment horizontal="right" wrapText="1"/>
    </xf>
    <xf numFmtId="0" fontId="5" fillId="0" borderId="2" xfId="1" applyFont="1" applyBorder="1" applyAlignment="1">
      <alignment wrapText="1"/>
    </xf>
    <xf numFmtId="164" fontId="21" fillId="0" borderId="2" xfId="0" applyNumberFormat="1" applyFont="1" applyBorder="1"/>
    <xf numFmtId="0" fontId="5" fillId="0" borderId="7" xfId="1" applyFont="1" applyBorder="1" applyAlignment="1">
      <alignment horizontal="center"/>
    </xf>
    <xf numFmtId="164" fontId="31" fillId="0" borderId="8" xfId="1" applyNumberFormat="1" applyFont="1" applyBorder="1"/>
    <xf numFmtId="164" fontId="32" fillId="0" borderId="8" xfId="1" applyNumberFormat="1" applyFont="1" applyBorder="1"/>
    <xf numFmtId="0" fontId="16" fillId="0" borderId="7" xfId="1" applyFont="1" applyBorder="1"/>
    <xf numFmtId="164" fontId="7" fillId="0" borderId="2" xfId="1" applyNumberFormat="1" applyFont="1" applyBorder="1"/>
    <xf numFmtId="164" fontId="4" fillId="0" borderId="2" xfId="1" applyNumberFormat="1" applyFont="1" applyBorder="1"/>
    <xf numFmtId="164" fontId="30" fillId="0" borderId="2" xfId="0" applyNumberFormat="1" applyFont="1" applyBorder="1" applyAlignment="1">
      <alignment wrapText="1"/>
    </xf>
    <xf numFmtId="164" fontId="4" fillId="2" borderId="2" xfId="1" applyNumberFormat="1" applyFont="1" applyFill="1" applyBorder="1"/>
    <xf numFmtId="0" fontId="11" fillId="0" borderId="7" xfId="1" applyFont="1" applyBorder="1" applyAlignment="1">
      <alignment wrapText="1"/>
    </xf>
    <xf numFmtId="0" fontId="4" fillId="0" borderId="7" xfId="1" applyFont="1" applyBorder="1"/>
    <xf numFmtId="164" fontId="7" fillId="0" borderId="2" xfId="0" applyNumberFormat="1" applyFont="1" applyBorder="1"/>
    <xf numFmtId="0" fontId="33" fillId="0" borderId="2" xfId="1" applyFont="1" applyBorder="1" applyAlignment="1">
      <alignment horizontal="left" vertical="center"/>
    </xf>
    <xf numFmtId="0" fontId="34" fillId="0" borderId="7" xfId="1" applyFont="1" applyBorder="1" applyAlignment="1">
      <alignment horizontal="center"/>
    </xf>
    <xf numFmtId="0" fontId="35" fillId="0" borderId="0" xfId="1" applyFont="1"/>
    <xf numFmtId="0" fontId="36" fillId="0" borderId="0" xfId="0" applyFont="1"/>
    <xf numFmtId="164" fontId="19" fillId="0" borderId="2" xfId="1" applyNumberFormat="1" applyFont="1" applyBorder="1"/>
    <xf numFmtId="165" fontId="4" fillId="0" borderId="5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164" fontId="23" fillId="3" borderId="2" xfId="1" applyNumberFormat="1" applyFont="1" applyFill="1" applyBorder="1"/>
    <xf numFmtId="164" fontId="12" fillId="3" borderId="2" xfId="1" applyNumberFormat="1" applyFont="1" applyFill="1" applyBorder="1"/>
    <xf numFmtId="164" fontId="25" fillId="3" borderId="2" xfId="1" applyNumberFormat="1" applyFont="1" applyFill="1" applyBorder="1"/>
    <xf numFmtId="164" fontId="28" fillId="3" borderId="2" xfId="1" applyNumberFormat="1" applyFont="1" applyFill="1" applyBorder="1"/>
    <xf numFmtId="164" fontId="23" fillId="4" borderId="2" xfId="1" applyNumberFormat="1" applyFont="1" applyFill="1" applyBorder="1"/>
    <xf numFmtId="164" fontId="28" fillId="4" borderId="2" xfId="1" applyNumberFormat="1" applyFont="1" applyFill="1" applyBorder="1"/>
    <xf numFmtId="164" fontId="11" fillId="4" borderId="2" xfId="1" applyNumberFormat="1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/>
    </xf>
    <xf numFmtId="0" fontId="7" fillId="0" borderId="2" xfId="2" applyFont="1" applyBorder="1" applyAlignment="1">
      <alignment wrapText="1"/>
    </xf>
    <xf numFmtId="0" fontId="7" fillId="0" borderId="2" xfId="2" applyFont="1" applyBorder="1"/>
    <xf numFmtId="165" fontId="7" fillId="0" borderId="2" xfId="2" applyNumberFormat="1" applyFont="1" applyBorder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2" xfId="2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165" fontId="4" fillId="0" borderId="5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vertical="center"/>
    </xf>
    <xf numFmtId="0" fontId="7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4" fillId="0" borderId="0" xfId="1" applyFont="1" applyFill="1" applyAlignment="1">
      <alignment horizontal="right"/>
    </xf>
    <xf numFmtId="165" fontId="7" fillId="0" borderId="2" xfId="2" applyNumberFormat="1" applyFont="1" applyFill="1" applyBorder="1" applyAlignment="1">
      <alignment vertical="center"/>
    </xf>
    <xf numFmtId="0" fontId="10" fillId="0" borderId="0" xfId="0" applyFont="1" applyFill="1"/>
    <xf numFmtId="0" fontId="38" fillId="0" borderId="0" xfId="0" applyFont="1"/>
    <xf numFmtId="164" fontId="38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0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2" xfId="3" applyFont="1" applyBorder="1" applyAlignment="1">
      <alignment horizontal="center" vertical="center" textRotation="90" wrapText="1"/>
    </xf>
    <xf numFmtId="0" fontId="5" fillId="0" borderId="2" xfId="3" applyFont="1" applyBorder="1" applyAlignment="1">
      <alignment horizontal="center" vertical="center" textRotation="90" wrapText="1" shrinkToFit="1"/>
    </xf>
    <xf numFmtId="0" fontId="5" fillId="0" borderId="7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textRotation="90" wrapText="1"/>
    </xf>
    <xf numFmtId="0" fontId="5" fillId="0" borderId="2" xfId="3" applyFont="1" applyBorder="1" applyAlignment="1">
      <alignment horizontal="center" vertical="center" textRotation="90" wrapText="1"/>
    </xf>
    <xf numFmtId="0" fontId="5" fillId="0" borderId="7" xfId="3" applyFont="1" applyBorder="1" applyAlignment="1">
      <alignment horizontal="center" vertical="center" textRotation="90" wrapText="1"/>
    </xf>
    <xf numFmtId="0" fontId="5" fillId="0" borderId="8" xfId="3" applyFont="1" applyBorder="1" applyAlignment="1">
      <alignment horizontal="center" vertical="center" textRotation="90" wrapText="1"/>
    </xf>
    <xf numFmtId="0" fontId="41" fillId="0" borderId="7" xfId="3" applyFont="1" applyBorder="1" applyAlignment="1">
      <alignment horizontal="center" vertical="center" textRotation="90" wrapText="1"/>
    </xf>
    <xf numFmtId="0" fontId="41" fillId="0" borderId="8" xfId="3" applyFont="1" applyBorder="1" applyAlignment="1">
      <alignment horizontal="center" vertical="center" textRotation="90" wrapText="1"/>
    </xf>
    <xf numFmtId="0" fontId="5" fillId="0" borderId="5" xfId="3" applyFont="1" applyBorder="1" applyAlignment="1">
      <alignment horizontal="center" vertical="center" textRotation="90" wrapText="1"/>
    </xf>
    <xf numFmtId="0" fontId="5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/>
    </xf>
    <xf numFmtId="0" fontId="7" fillId="0" borderId="2" xfId="0" applyFont="1" applyBorder="1" applyAlignment="1">
      <alignment horizontal="right" vertical="center" wrapText="1"/>
    </xf>
    <xf numFmtId="3" fontId="7" fillId="0" borderId="2" xfId="3" applyNumberFormat="1" applyFont="1" applyBorder="1" applyAlignment="1">
      <alignment horizontal="right" vertical="center" wrapText="1"/>
    </xf>
    <xf numFmtId="9" fontId="4" fillId="0" borderId="2" xfId="5" applyFont="1" applyFill="1" applyBorder="1" applyAlignment="1">
      <alignment horizontal="right" vertical="center" wrapText="1"/>
    </xf>
    <xf numFmtId="1" fontId="13" fillId="0" borderId="2" xfId="4" applyNumberFormat="1" applyFont="1" applyFill="1" applyBorder="1" applyAlignment="1">
      <alignment horizontal="right" vertical="center"/>
    </xf>
    <xf numFmtId="0" fontId="4" fillId="0" borderId="2" xfId="3" applyFont="1" applyBorder="1" applyAlignment="1">
      <alignment horizontal="right" vertical="center" wrapText="1"/>
    </xf>
    <xf numFmtId="1" fontId="4" fillId="0" borderId="2" xfId="3" applyNumberFormat="1" applyFont="1" applyBorder="1" applyAlignment="1">
      <alignment horizontal="right" vertical="center" wrapText="1"/>
    </xf>
    <xf numFmtId="1" fontId="4" fillId="0" borderId="2" xfId="5" applyNumberFormat="1" applyFont="1" applyFill="1" applyBorder="1" applyAlignment="1">
      <alignment horizontal="right" vertical="center" wrapText="1"/>
    </xf>
    <xf numFmtId="3" fontId="4" fillId="0" borderId="2" xfId="3" applyNumberFormat="1" applyFont="1" applyBorder="1" applyAlignment="1">
      <alignment horizontal="right" vertical="center" wrapText="1"/>
    </xf>
    <xf numFmtId="3" fontId="4" fillId="0" borderId="2" xfId="6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" fontId="4" fillId="0" borderId="2" xfId="4" applyNumberFormat="1" applyFont="1" applyFill="1" applyBorder="1" applyAlignment="1">
      <alignment horizontal="right" vertical="center"/>
    </xf>
    <xf numFmtId="0" fontId="4" fillId="0" borderId="8" xfId="2" applyFont="1" applyBorder="1" applyAlignment="1">
      <alignment horizontal="left" wrapText="1"/>
    </xf>
    <xf numFmtId="0" fontId="4" fillId="0" borderId="2" xfId="2" applyFont="1" applyBorder="1" applyAlignment="1">
      <alignment horizontal="left"/>
    </xf>
    <xf numFmtId="165" fontId="4" fillId="0" borderId="2" xfId="4" applyNumberFormat="1" applyFont="1" applyFill="1" applyBorder="1" applyAlignment="1">
      <alignment horizontal="right" vertical="center" wrapText="1"/>
    </xf>
    <xf numFmtId="1" fontId="5" fillId="0" borderId="2" xfId="3" applyNumberFormat="1" applyFont="1" applyBorder="1" applyAlignment="1">
      <alignment vertical="center" wrapText="1"/>
    </xf>
    <xf numFmtId="3" fontId="5" fillId="0" borderId="2" xfId="3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165" fontId="7" fillId="0" borderId="2" xfId="0" applyNumberFormat="1" applyFont="1" applyBorder="1" applyAlignment="1">
      <alignment horizontal="right" vertical="center" wrapText="1"/>
    </xf>
    <xf numFmtId="0" fontId="4" fillId="0" borderId="2" xfId="6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wrapText="1"/>
    </xf>
    <xf numFmtId="0" fontId="5" fillId="0" borderId="2" xfId="3" applyFont="1" applyBorder="1" applyAlignment="1">
      <alignment vertical="center" wrapText="1"/>
    </xf>
    <xf numFmtId="165" fontId="5" fillId="0" borderId="2" xfId="3" applyNumberFormat="1" applyFont="1" applyBorder="1" applyAlignment="1">
      <alignment vertical="center" wrapText="1"/>
    </xf>
    <xf numFmtId="0" fontId="21" fillId="0" borderId="2" xfId="3" applyFont="1" applyBorder="1"/>
    <xf numFmtId="49" fontId="5" fillId="0" borderId="2" xfId="3" applyNumberFormat="1" applyFont="1" applyBorder="1" applyAlignment="1">
      <alignment horizontal="center" wrapText="1"/>
    </xf>
    <xf numFmtId="1" fontId="21" fillId="0" borderId="2" xfId="3" applyNumberFormat="1" applyFont="1" applyBorder="1" applyAlignment="1">
      <alignment horizontal="right" vertical="center"/>
    </xf>
    <xf numFmtId="1" fontId="40" fillId="0" borderId="0" xfId="0" applyNumberFormat="1" applyFont="1"/>
    <xf numFmtId="1" fontId="43" fillId="0" borderId="0" xfId="0" applyNumberFormat="1" applyFont="1"/>
    <xf numFmtId="0" fontId="43" fillId="0" borderId="0" xfId="0" applyFont="1"/>
    <xf numFmtId="0" fontId="44" fillId="0" borderId="0" xfId="0" applyFont="1"/>
    <xf numFmtId="165" fontId="44" fillId="0" borderId="0" xfId="0" applyNumberFormat="1" applyFont="1"/>
  </cellXfs>
  <cellStyles count="7">
    <cellStyle name="Обычный" xfId="0" builtinId="0"/>
    <cellStyle name="Обычный 2" xfId="2"/>
    <cellStyle name="Обычный 2 2" xfId="3"/>
    <cellStyle name="Обычный 2 2 2" xfId="6"/>
    <cellStyle name="Обычный 3" xfId="1"/>
    <cellStyle name="Процентный 2" xfId="5"/>
    <cellStyle name="Финансовый" xfId="4" builtinId="3"/>
  </cellStyles>
  <dxfs count="0"/>
  <tableStyles count="0" defaultTableStyle="TableStyleMedium2" defaultPivotStyle="PivotStyleLight16"/>
  <colors>
    <mruColors>
      <color rgb="FFCAFF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zoomScale="85" zoomScaleNormal="8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E26" sqref="E26"/>
    </sheetView>
  </sheetViews>
  <sheetFormatPr defaultColWidth="9.140625" defaultRowHeight="12.75"/>
  <cols>
    <col min="1" max="1" width="4.28515625" style="24" customWidth="1"/>
    <col min="2" max="2" width="8.85546875" style="24" customWidth="1"/>
    <col min="3" max="3" width="60.5703125" style="24" customWidth="1"/>
    <col min="4" max="4" width="5.85546875" style="24" customWidth="1"/>
    <col min="5" max="5" width="12.140625" style="24" customWidth="1"/>
    <col min="6" max="6" width="11.5703125" style="24" customWidth="1"/>
    <col min="7" max="7" width="10.5703125" style="24" customWidth="1"/>
    <col min="8" max="8" width="12.140625" style="24" customWidth="1"/>
    <col min="9" max="9" width="10.7109375" style="24" customWidth="1"/>
    <col min="10" max="10" width="11.5703125" style="24" customWidth="1"/>
    <col min="11" max="11" width="11.140625" style="24" customWidth="1"/>
    <col min="12" max="12" width="10.28515625" style="24" customWidth="1"/>
    <col min="13" max="253" width="9.140625" style="24"/>
    <col min="254" max="254" width="4.28515625" style="24" customWidth="1"/>
    <col min="255" max="255" width="8.85546875" style="24" customWidth="1"/>
    <col min="256" max="256" width="60.5703125" style="24" customWidth="1"/>
    <col min="257" max="257" width="5.85546875" style="24" customWidth="1"/>
    <col min="258" max="258" width="12.140625" style="24" customWidth="1"/>
    <col min="259" max="259" width="11.5703125" style="24" customWidth="1"/>
    <col min="260" max="260" width="10.28515625" style="24" bestFit="1" customWidth="1"/>
    <col min="261" max="261" width="12.140625" style="24" customWidth="1"/>
    <col min="262" max="262" width="10.7109375" style="24" customWidth="1"/>
    <col min="263" max="265" width="10.28515625" style="24" customWidth="1"/>
    <col min="266" max="266" width="9.5703125" style="24" customWidth="1"/>
    <col min="267" max="267" width="10.42578125" style="24" customWidth="1"/>
    <col min="268" max="268" width="9.140625" style="24"/>
    <col min="269" max="269" width="10.42578125" style="24" bestFit="1" customWidth="1"/>
    <col min="270" max="509" width="9.140625" style="24"/>
    <col min="510" max="510" width="4.28515625" style="24" customWidth="1"/>
    <col min="511" max="511" width="8.85546875" style="24" customWidth="1"/>
    <col min="512" max="512" width="60.5703125" style="24" customWidth="1"/>
    <col min="513" max="513" width="5.85546875" style="24" customWidth="1"/>
    <col min="514" max="514" width="12.140625" style="24" customWidth="1"/>
    <col min="515" max="515" width="11.5703125" style="24" customWidth="1"/>
    <col min="516" max="516" width="10.28515625" style="24" bestFit="1" customWidth="1"/>
    <col min="517" max="517" width="12.140625" style="24" customWidth="1"/>
    <col min="518" max="518" width="10.7109375" style="24" customWidth="1"/>
    <col min="519" max="521" width="10.28515625" style="24" customWidth="1"/>
    <col min="522" max="522" width="9.5703125" style="24" customWidth="1"/>
    <col min="523" max="523" width="10.42578125" style="24" customWidth="1"/>
    <col min="524" max="524" width="9.140625" style="24"/>
    <col min="525" max="525" width="10.42578125" style="24" bestFit="1" customWidth="1"/>
    <col min="526" max="765" width="9.140625" style="24"/>
    <col min="766" max="766" width="4.28515625" style="24" customWidth="1"/>
    <col min="767" max="767" width="8.85546875" style="24" customWidth="1"/>
    <col min="768" max="768" width="60.5703125" style="24" customWidth="1"/>
    <col min="769" max="769" width="5.85546875" style="24" customWidth="1"/>
    <col min="770" max="770" width="12.140625" style="24" customWidth="1"/>
    <col min="771" max="771" width="11.5703125" style="24" customWidth="1"/>
    <col min="772" max="772" width="10.28515625" style="24" bestFit="1" customWidth="1"/>
    <col min="773" max="773" width="12.140625" style="24" customWidth="1"/>
    <col min="774" max="774" width="10.7109375" style="24" customWidth="1"/>
    <col min="775" max="777" width="10.28515625" style="24" customWidth="1"/>
    <col min="778" max="778" width="9.5703125" style="24" customWidth="1"/>
    <col min="779" max="779" width="10.42578125" style="24" customWidth="1"/>
    <col min="780" max="780" width="9.140625" style="24"/>
    <col min="781" max="781" width="10.42578125" style="24" bestFit="1" customWidth="1"/>
    <col min="782" max="1021" width="9.140625" style="24"/>
    <col min="1022" max="1022" width="4.28515625" style="24" customWidth="1"/>
    <col min="1023" max="1023" width="8.85546875" style="24" customWidth="1"/>
    <col min="1024" max="1024" width="60.5703125" style="24" customWidth="1"/>
    <col min="1025" max="1025" width="5.85546875" style="24" customWidth="1"/>
    <col min="1026" max="1026" width="12.140625" style="24" customWidth="1"/>
    <col min="1027" max="1027" width="11.5703125" style="24" customWidth="1"/>
    <col min="1028" max="1028" width="10.28515625" style="24" bestFit="1" customWidth="1"/>
    <col min="1029" max="1029" width="12.140625" style="24" customWidth="1"/>
    <col min="1030" max="1030" width="10.7109375" style="24" customWidth="1"/>
    <col min="1031" max="1033" width="10.28515625" style="24" customWidth="1"/>
    <col min="1034" max="1034" width="9.5703125" style="24" customWidth="1"/>
    <col min="1035" max="1035" width="10.42578125" style="24" customWidth="1"/>
    <col min="1036" max="1036" width="9.140625" style="24"/>
    <col min="1037" max="1037" width="10.42578125" style="24" bestFit="1" customWidth="1"/>
    <col min="1038" max="1277" width="9.140625" style="24"/>
    <col min="1278" max="1278" width="4.28515625" style="24" customWidth="1"/>
    <col min="1279" max="1279" width="8.85546875" style="24" customWidth="1"/>
    <col min="1280" max="1280" width="60.5703125" style="24" customWidth="1"/>
    <col min="1281" max="1281" width="5.85546875" style="24" customWidth="1"/>
    <col min="1282" max="1282" width="12.140625" style="24" customWidth="1"/>
    <col min="1283" max="1283" width="11.5703125" style="24" customWidth="1"/>
    <col min="1284" max="1284" width="10.28515625" style="24" bestFit="1" customWidth="1"/>
    <col min="1285" max="1285" width="12.140625" style="24" customWidth="1"/>
    <col min="1286" max="1286" width="10.7109375" style="24" customWidth="1"/>
    <col min="1287" max="1289" width="10.28515625" style="24" customWidth="1"/>
    <col min="1290" max="1290" width="9.5703125" style="24" customWidth="1"/>
    <col min="1291" max="1291" width="10.42578125" style="24" customWidth="1"/>
    <col min="1292" max="1292" width="9.140625" style="24"/>
    <col min="1293" max="1293" width="10.42578125" style="24" bestFit="1" customWidth="1"/>
    <col min="1294" max="1533" width="9.140625" style="24"/>
    <col min="1534" max="1534" width="4.28515625" style="24" customWidth="1"/>
    <col min="1535" max="1535" width="8.85546875" style="24" customWidth="1"/>
    <col min="1536" max="1536" width="60.5703125" style="24" customWidth="1"/>
    <col min="1537" max="1537" width="5.85546875" style="24" customWidth="1"/>
    <col min="1538" max="1538" width="12.140625" style="24" customWidth="1"/>
    <col min="1539" max="1539" width="11.5703125" style="24" customWidth="1"/>
    <col min="1540" max="1540" width="10.28515625" style="24" bestFit="1" customWidth="1"/>
    <col min="1541" max="1541" width="12.140625" style="24" customWidth="1"/>
    <col min="1542" max="1542" width="10.7109375" style="24" customWidth="1"/>
    <col min="1543" max="1545" width="10.28515625" style="24" customWidth="1"/>
    <col min="1546" max="1546" width="9.5703125" style="24" customWidth="1"/>
    <col min="1547" max="1547" width="10.42578125" style="24" customWidth="1"/>
    <col min="1548" max="1548" width="9.140625" style="24"/>
    <col min="1549" max="1549" width="10.42578125" style="24" bestFit="1" customWidth="1"/>
    <col min="1550" max="1789" width="9.140625" style="24"/>
    <col min="1790" max="1790" width="4.28515625" style="24" customWidth="1"/>
    <col min="1791" max="1791" width="8.85546875" style="24" customWidth="1"/>
    <col min="1792" max="1792" width="60.5703125" style="24" customWidth="1"/>
    <col min="1793" max="1793" width="5.85546875" style="24" customWidth="1"/>
    <col min="1794" max="1794" width="12.140625" style="24" customWidth="1"/>
    <col min="1795" max="1795" width="11.5703125" style="24" customWidth="1"/>
    <col min="1796" max="1796" width="10.28515625" style="24" bestFit="1" customWidth="1"/>
    <col min="1797" max="1797" width="12.140625" style="24" customWidth="1"/>
    <col min="1798" max="1798" width="10.7109375" style="24" customWidth="1"/>
    <col min="1799" max="1801" width="10.28515625" style="24" customWidth="1"/>
    <col min="1802" max="1802" width="9.5703125" style="24" customWidth="1"/>
    <col min="1803" max="1803" width="10.42578125" style="24" customWidth="1"/>
    <col min="1804" max="1804" width="9.140625" style="24"/>
    <col min="1805" max="1805" width="10.42578125" style="24" bestFit="1" customWidth="1"/>
    <col min="1806" max="2045" width="9.140625" style="24"/>
    <col min="2046" max="2046" width="4.28515625" style="24" customWidth="1"/>
    <col min="2047" max="2047" width="8.85546875" style="24" customWidth="1"/>
    <col min="2048" max="2048" width="60.5703125" style="24" customWidth="1"/>
    <col min="2049" max="2049" width="5.85546875" style="24" customWidth="1"/>
    <col min="2050" max="2050" width="12.140625" style="24" customWidth="1"/>
    <col min="2051" max="2051" width="11.5703125" style="24" customWidth="1"/>
    <col min="2052" max="2052" width="10.28515625" style="24" bestFit="1" customWidth="1"/>
    <col min="2053" max="2053" width="12.140625" style="24" customWidth="1"/>
    <col min="2054" max="2054" width="10.7109375" style="24" customWidth="1"/>
    <col min="2055" max="2057" width="10.28515625" style="24" customWidth="1"/>
    <col min="2058" max="2058" width="9.5703125" style="24" customWidth="1"/>
    <col min="2059" max="2059" width="10.42578125" style="24" customWidth="1"/>
    <col min="2060" max="2060" width="9.140625" style="24"/>
    <col min="2061" max="2061" width="10.42578125" style="24" bestFit="1" customWidth="1"/>
    <col min="2062" max="2301" width="9.140625" style="24"/>
    <col min="2302" max="2302" width="4.28515625" style="24" customWidth="1"/>
    <col min="2303" max="2303" width="8.85546875" style="24" customWidth="1"/>
    <col min="2304" max="2304" width="60.5703125" style="24" customWidth="1"/>
    <col min="2305" max="2305" width="5.85546875" style="24" customWidth="1"/>
    <col min="2306" max="2306" width="12.140625" style="24" customWidth="1"/>
    <col min="2307" max="2307" width="11.5703125" style="24" customWidth="1"/>
    <col min="2308" max="2308" width="10.28515625" style="24" bestFit="1" customWidth="1"/>
    <col min="2309" max="2309" width="12.140625" style="24" customWidth="1"/>
    <col min="2310" max="2310" width="10.7109375" style="24" customWidth="1"/>
    <col min="2311" max="2313" width="10.28515625" style="24" customWidth="1"/>
    <col min="2314" max="2314" width="9.5703125" style="24" customWidth="1"/>
    <col min="2315" max="2315" width="10.42578125" style="24" customWidth="1"/>
    <col min="2316" max="2316" width="9.140625" style="24"/>
    <col min="2317" max="2317" width="10.42578125" style="24" bestFit="1" customWidth="1"/>
    <col min="2318" max="2557" width="9.140625" style="24"/>
    <col min="2558" max="2558" width="4.28515625" style="24" customWidth="1"/>
    <col min="2559" max="2559" width="8.85546875" style="24" customWidth="1"/>
    <col min="2560" max="2560" width="60.5703125" style="24" customWidth="1"/>
    <col min="2561" max="2561" width="5.85546875" style="24" customWidth="1"/>
    <col min="2562" max="2562" width="12.140625" style="24" customWidth="1"/>
    <col min="2563" max="2563" width="11.5703125" style="24" customWidth="1"/>
    <col min="2564" max="2564" width="10.28515625" style="24" bestFit="1" customWidth="1"/>
    <col min="2565" max="2565" width="12.140625" style="24" customWidth="1"/>
    <col min="2566" max="2566" width="10.7109375" style="24" customWidth="1"/>
    <col min="2567" max="2569" width="10.28515625" style="24" customWidth="1"/>
    <col min="2570" max="2570" width="9.5703125" style="24" customWidth="1"/>
    <col min="2571" max="2571" width="10.42578125" style="24" customWidth="1"/>
    <col min="2572" max="2572" width="9.140625" style="24"/>
    <col min="2573" max="2573" width="10.42578125" style="24" bestFit="1" customWidth="1"/>
    <col min="2574" max="2813" width="9.140625" style="24"/>
    <col min="2814" max="2814" width="4.28515625" style="24" customWidth="1"/>
    <col min="2815" max="2815" width="8.85546875" style="24" customWidth="1"/>
    <col min="2816" max="2816" width="60.5703125" style="24" customWidth="1"/>
    <col min="2817" max="2817" width="5.85546875" style="24" customWidth="1"/>
    <col min="2818" max="2818" width="12.140625" style="24" customWidth="1"/>
    <col min="2819" max="2819" width="11.5703125" style="24" customWidth="1"/>
    <col min="2820" max="2820" width="10.28515625" style="24" bestFit="1" customWidth="1"/>
    <col min="2821" max="2821" width="12.140625" style="24" customWidth="1"/>
    <col min="2822" max="2822" width="10.7109375" style="24" customWidth="1"/>
    <col min="2823" max="2825" width="10.28515625" style="24" customWidth="1"/>
    <col min="2826" max="2826" width="9.5703125" style="24" customWidth="1"/>
    <col min="2827" max="2827" width="10.42578125" style="24" customWidth="1"/>
    <col min="2828" max="2828" width="9.140625" style="24"/>
    <col min="2829" max="2829" width="10.42578125" style="24" bestFit="1" customWidth="1"/>
    <col min="2830" max="3069" width="9.140625" style="24"/>
    <col min="3070" max="3070" width="4.28515625" style="24" customWidth="1"/>
    <col min="3071" max="3071" width="8.85546875" style="24" customWidth="1"/>
    <col min="3072" max="3072" width="60.5703125" style="24" customWidth="1"/>
    <col min="3073" max="3073" width="5.85546875" style="24" customWidth="1"/>
    <col min="3074" max="3074" width="12.140625" style="24" customWidth="1"/>
    <col min="3075" max="3075" width="11.5703125" style="24" customWidth="1"/>
    <col min="3076" max="3076" width="10.28515625" style="24" bestFit="1" customWidth="1"/>
    <col min="3077" max="3077" width="12.140625" style="24" customWidth="1"/>
    <col min="3078" max="3078" width="10.7109375" style="24" customWidth="1"/>
    <col min="3079" max="3081" width="10.28515625" style="24" customWidth="1"/>
    <col min="3082" max="3082" width="9.5703125" style="24" customWidth="1"/>
    <col min="3083" max="3083" width="10.42578125" style="24" customWidth="1"/>
    <col min="3084" max="3084" width="9.140625" style="24"/>
    <col min="3085" max="3085" width="10.42578125" style="24" bestFit="1" customWidth="1"/>
    <col min="3086" max="3325" width="9.140625" style="24"/>
    <col min="3326" max="3326" width="4.28515625" style="24" customWidth="1"/>
    <col min="3327" max="3327" width="8.85546875" style="24" customWidth="1"/>
    <col min="3328" max="3328" width="60.5703125" style="24" customWidth="1"/>
    <col min="3329" max="3329" width="5.85546875" style="24" customWidth="1"/>
    <col min="3330" max="3330" width="12.140625" style="24" customWidth="1"/>
    <col min="3331" max="3331" width="11.5703125" style="24" customWidth="1"/>
    <col min="3332" max="3332" width="10.28515625" style="24" bestFit="1" customWidth="1"/>
    <col min="3333" max="3333" width="12.140625" style="24" customWidth="1"/>
    <col min="3334" max="3334" width="10.7109375" style="24" customWidth="1"/>
    <col min="3335" max="3337" width="10.28515625" style="24" customWidth="1"/>
    <col min="3338" max="3338" width="9.5703125" style="24" customWidth="1"/>
    <col min="3339" max="3339" width="10.42578125" style="24" customWidth="1"/>
    <col min="3340" max="3340" width="9.140625" style="24"/>
    <col min="3341" max="3341" width="10.42578125" style="24" bestFit="1" customWidth="1"/>
    <col min="3342" max="3581" width="9.140625" style="24"/>
    <col min="3582" max="3582" width="4.28515625" style="24" customWidth="1"/>
    <col min="3583" max="3583" width="8.85546875" style="24" customWidth="1"/>
    <col min="3584" max="3584" width="60.5703125" style="24" customWidth="1"/>
    <col min="3585" max="3585" width="5.85546875" style="24" customWidth="1"/>
    <col min="3586" max="3586" width="12.140625" style="24" customWidth="1"/>
    <col min="3587" max="3587" width="11.5703125" style="24" customWidth="1"/>
    <col min="3588" max="3588" width="10.28515625" style="24" bestFit="1" customWidth="1"/>
    <col min="3589" max="3589" width="12.140625" style="24" customWidth="1"/>
    <col min="3590" max="3590" width="10.7109375" style="24" customWidth="1"/>
    <col min="3591" max="3593" width="10.28515625" style="24" customWidth="1"/>
    <col min="3594" max="3594" width="9.5703125" style="24" customWidth="1"/>
    <col min="3595" max="3595" width="10.42578125" style="24" customWidth="1"/>
    <col min="3596" max="3596" width="9.140625" style="24"/>
    <col min="3597" max="3597" width="10.42578125" style="24" bestFit="1" customWidth="1"/>
    <col min="3598" max="3837" width="9.140625" style="24"/>
    <col min="3838" max="3838" width="4.28515625" style="24" customWidth="1"/>
    <col min="3839" max="3839" width="8.85546875" style="24" customWidth="1"/>
    <col min="3840" max="3840" width="60.5703125" style="24" customWidth="1"/>
    <col min="3841" max="3841" width="5.85546875" style="24" customWidth="1"/>
    <col min="3842" max="3842" width="12.140625" style="24" customWidth="1"/>
    <col min="3843" max="3843" width="11.5703125" style="24" customWidth="1"/>
    <col min="3844" max="3844" width="10.28515625" style="24" bestFit="1" customWidth="1"/>
    <col min="3845" max="3845" width="12.140625" style="24" customWidth="1"/>
    <col min="3846" max="3846" width="10.7109375" style="24" customWidth="1"/>
    <col min="3847" max="3849" width="10.28515625" style="24" customWidth="1"/>
    <col min="3850" max="3850" width="9.5703125" style="24" customWidth="1"/>
    <col min="3851" max="3851" width="10.42578125" style="24" customWidth="1"/>
    <col min="3852" max="3852" width="9.140625" style="24"/>
    <col min="3853" max="3853" width="10.42578125" style="24" bestFit="1" customWidth="1"/>
    <col min="3854" max="4093" width="9.140625" style="24"/>
    <col min="4094" max="4094" width="4.28515625" style="24" customWidth="1"/>
    <col min="4095" max="4095" width="8.85546875" style="24" customWidth="1"/>
    <col min="4096" max="4096" width="60.5703125" style="24" customWidth="1"/>
    <col min="4097" max="4097" width="5.85546875" style="24" customWidth="1"/>
    <col min="4098" max="4098" width="12.140625" style="24" customWidth="1"/>
    <col min="4099" max="4099" width="11.5703125" style="24" customWidth="1"/>
    <col min="4100" max="4100" width="10.28515625" style="24" bestFit="1" customWidth="1"/>
    <col min="4101" max="4101" width="12.140625" style="24" customWidth="1"/>
    <col min="4102" max="4102" width="10.7109375" style="24" customWidth="1"/>
    <col min="4103" max="4105" width="10.28515625" style="24" customWidth="1"/>
    <col min="4106" max="4106" width="9.5703125" style="24" customWidth="1"/>
    <col min="4107" max="4107" width="10.42578125" style="24" customWidth="1"/>
    <col min="4108" max="4108" width="9.140625" style="24"/>
    <col min="4109" max="4109" width="10.42578125" style="24" bestFit="1" customWidth="1"/>
    <col min="4110" max="4349" width="9.140625" style="24"/>
    <col min="4350" max="4350" width="4.28515625" style="24" customWidth="1"/>
    <col min="4351" max="4351" width="8.85546875" style="24" customWidth="1"/>
    <col min="4352" max="4352" width="60.5703125" style="24" customWidth="1"/>
    <col min="4353" max="4353" width="5.85546875" style="24" customWidth="1"/>
    <col min="4354" max="4354" width="12.140625" style="24" customWidth="1"/>
    <col min="4355" max="4355" width="11.5703125" style="24" customWidth="1"/>
    <col min="4356" max="4356" width="10.28515625" style="24" bestFit="1" customWidth="1"/>
    <col min="4357" max="4357" width="12.140625" style="24" customWidth="1"/>
    <col min="4358" max="4358" width="10.7109375" style="24" customWidth="1"/>
    <col min="4359" max="4361" width="10.28515625" style="24" customWidth="1"/>
    <col min="4362" max="4362" width="9.5703125" style="24" customWidth="1"/>
    <col min="4363" max="4363" width="10.42578125" style="24" customWidth="1"/>
    <col min="4364" max="4364" width="9.140625" style="24"/>
    <col min="4365" max="4365" width="10.42578125" style="24" bestFit="1" customWidth="1"/>
    <col min="4366" max="4605" width="9.140625" style="24"/>
    <col min="4606" max="4606" width="4.28515625" style="24" customWidth="1"/>
    <col min="4607" max="4607" width="8.85546875" style="24" customWidth="1"/>
    <col min="4608" max="4608" width="60.5703125" style="24" customWidth="1"/>
    <col min="4609" max="4609" width="5.85546875" style="24" customWidth="1"/>
    <col min="4610" max="4610" width="12.140625" style="24" customWidth="1"/>
    <col min="4611" max="4611" width="11.5703125" style="24" customWidth="1"/>
    <col min="4612" max="4612" width="10.28515625" style="24" bestFit="1" customWidth="1"/>
    <col min="4613" max="4613" width="12.140625" style="24" customWidth="1"/>
    <col min="4614" max="4614" width="10.7109375" style="24" customWidth="1"/>
    <col min="4615" max="4617" width="10.28515625" style="24" customWidth="1"/>
    <col min="4618" max="4618" width="9.5703125" style="24" customWidth="1"/>
    <col min="4619" max="4619" width="10.42578125" style="24" customWidth="1"/>
    <col min="4620" max="4620" width="9.140625" style="24"/>
    <col min="4621" max="4621" width="10.42578125" style="24" bestFit="1" customWidth="1"/>
    <col min="4622" max="4861" width="9.140625" style="24"/>
    <col min="4862" max="4862" width="4.28515625" style="24" customWidth="1"/>
    <col min="4863" max="4863" width="8.85546875" style="24" customWidth="1"/>
    <col min="4864" max="4864" width="60.5703125" style="24" customWidth="1"/>
    <col min="4865" max="4865" width="5.85546875" style="24" customWidth="1"/>
    <col min="4866" max="4866" width="12.140625" style="24" customWidth="1"/>
    <col min="4867" max="4867" width="11.5703125" style="24" customWidth="1"/>
    <col min="4868" max="4868" width="10.28515625" style="24" bestFit="1" customWidth="1"/>
    <col min="4869" max="4869" width="12.140625" style="24" customWidth="1"/>
    <col min="4870" max="4870" width="10.7109375" style="24" customWidth="1"/>
    <col min="4871" max="4873" width="10.28515625" style="24" customWidth="1"/>
    <col min="4874" max="4874" width="9.5703125" style="24" customWidth="1"/>
    <col min="4875" max="4875" width="10.42578125" style="24" customWidth="1"/>
    <col min="4876" max="4876" width="9.140625" style="24"/>
    <col min="4877" max="4877" width="10.42578125" style="24" bestFit="1" customWidth="1"/>
    <col min="4878" max="5117" width="9.140625" style="24"/>
    <col min="5118" max="5118" width="4.28515625" style="24" customWidth="1"/>
    <col min="5119" max="5119" width="8.85546875" style="24" customWidth="1"/>
    <col min="5120" max="5120" width="60.5703125" style="24" customWidth="1"/>
    <col min="5121" max="5121" width="5.85546875" style="24" customWidth="1"/>
    <col min="5122" max="5122" width="12.140625" style="24" customWidth="1"/>
    <col min="5123" max="5123" width="11.5703125" style="24" customWidth="1"/>
    <col min="5124" max="5124" width="10.28515625" style="24" bestFit="1" customWidth="1"/>
    <col min="5125" max="5125" width="12.140625" style="24" customWidth="1"/>
    <col min="5126" max="5126" width="10.7109375" style="24" customWidth="1"/>
    <col min="5127" max="5129" width="10.28515625" style="24" customWidth="1"/>
    <col min="5130" max="5130" width="9.5703125" style="24" customWidth="1"/>
    <col min="5131" max="5131" width="10.42578125" style="24" customWidth="1"/>
    <col min="5132" max="5132" width="9.140625" style="24"/>
    <col min="5133" max="5133" width="10.42578125" style="24" bestFit="1" customWidth="1"/>
    <col min="5134" max="5373" width="9.140625" style="24"/>
    <col min="5374" max="5374" width="4.28515625" style="24" customWidth="1"/>
    <col min="5375" max="5375" width="8.85546875" style="24" customWidth="1"/>
    <col min="5376" max="5376" width="60.5703125" style="24" customWidth="1"/>
    <col min="5377" max="5377" width="5.85546875" style="24" customWidth="1"/>
    <col min="5378" max="5378" width="12.140625" style="24" customWidth="1"/>
    <col min="5379" max="5379" width="11.5703125" style="24" customWidth="1"/>
    <col min="5380" max="5380" width="10.28515625" style="24" bestFit="1" customWidth="1"/>
    <col min="5381" max="5381" width="12.140625" style="24" customWidth="1"/>
    <col min="5382" max="5382" width="10.7109375" style="24" customWidth="1"/>
    <col min="5383" max="5385" width="10.28515625" style="24" customWidth="1"/>
    <col min="5386" max="5386" width="9.5703125" style="24" customWidth="1"/>
    <col min="5387" max="5387" width="10.42578125" style="24" customWidth="1"/>
    <col min="5388" max="5388" width="9.140625" style="24"/>
    <col min="5389" max="5389" width="10.42578125" style="24" bestFit="1" customWidth="1"/>
    <col min="5390" max="5629" width="9.140625" style="24"/>
    <col min="5630" max="5630" width="4.28515625" style="24" customWidth="1"/>
    <col min="5631" max="5631" width="8.85546875" style="24" customWidth="1"/>
    <col min="5632" max="5632" width="60.5703125" style="24" customWidth="1"/>
    <col min="5633" max="5633" width="5.85546875" style="24" customWidth="1"/>
    <col min="5634" max="5634" width="12.140625" style="24" customWidth="1"/>
    <col min="5635" max="5635" width="11.5703125" style="24" customWidth="1"/>
    <col min="5636" max="5636" width="10.28515625" style="24" bestFit="1" customWidth="1"/>
    <col min="5637" max="5637" width="12.140625" style="24" customWidth="1"/>
    <col min="5638" max="5638" width="10.7109375" style="24" customWidth="1"/>
    <col min="5639" max="5641" width="10.28515625" style="24" customWidth="1"/>
    <col min="5642" max="5642" width="9.5703125" style="24" customWidth="1"/>
    <col min="5643" max="5643" width="10.42578125" style="24" customWidth="1"/>
    <col min="5644" max="5644" width="9.140625" style="24"/>
    <col min="5645" max="5645" width="10.42578125" style="24" bestFit="1" customWidth="1"/>
    <col min="5646" max="5885" width="9.140625" style="24"/>
    <col min="5886" max="5886" width="4.28515625" style="24" customWidth="1"/>
    <col min="5887" max="5887" width="8.85546875" style="24" customWidth="1"/>
    <col min="5888" max="5888" width="60.5703125" style="24" customWidth="1"/>
    <col min="5889" max="5889" width="5.85546875" style="24" customWidth="1"/>
    <col min="5890" max="5890" width="12.140625" style="24" customWidth="1"/>
    <col min="5891" max="5891" width="11.5703125" style="24" customWidth="1"/>
    <col min="5892" max="5892" width="10.28515625" style="24" bestFit="1" customWidth="1"/>
    <col min="5893" max="5893" width="12.140625" style="24" customWidth="1"/>
    <col min="5894" max="5894" width="10.7109375" style="24" customWidth="1"/>
    <col min="5895" max="5897" width="10.28515625" style="24" customWidth="1"/>
    <col min="5898" max="5898" width="9.5703125" style="24" customWidth="1"/>
    <col min="5899" max="5899" width="10.42578125" style="24" customWidth="1"/>
    <col min="5900" max="5900" width="9.140625" style="24"/>
    <col min="5901" max="5901" width="10.42578125" style="24" bestFit="1" customWidth="1"/>
    <col min="5902" max="6141" width="9.140625" style="24"/>
    <col min="6142" max="6142" width="4.28515625" style="24" customWidth="1"/>
    <col min="6143" max="6143" width="8.85546875" style="24" customWidth="1"/>
    <col min="6144" max="6144" width="60.5703125" style="24" customWidth="1"/>
    <col min="6145" max="6145" width="5.85546875" style="24" customWidth="1"/>
    <col min="6146" max="6146" width="12.140625" style="24" customWidth="1"/>
    <col min="6147" max="6147" width="11.5703125" style="24" customWidth="1"/>
    <col min="6148" max="6148" width="10.28515625" style="24" bestFit="1" customWidth="1"/>
    <col min="6149" max="6149" width="12.140625" style="24" customWidth="1"/>
    <col min="6150" max="6150" width="10.7109375" style="24" customWidth="1"/>
    <col min="6151" max="6153" width="10.28515625" style="24" customWidth="1"/>
    <col min="6154" max="6154" width="9.5703125" style="24" customWidth="1"/>
    <col min="6155" max="6155" width="10.42578125" style="24" customWidth="1"/>
    <col min="6156" max="6156" width="9.140625" style="24"/>
    <col min="6157" max="6157" width="10.42578125" style="24" bestFit="1" customWidth="1"/>
    <col min="6158" max="6397" width="9.140625" style="24"/>
    <col min="6398" max="6398" width="4.28515625" style="24" customWidth="1"/>
    <col min="6399" max="6399" width="8.85546875" style="24" customWidth="1"/>
    <col min="6400" max="6400" width="60.5703125" style="24" customWidth="1"/>
    <col min="6401" max="6401" width="5.85546875" style="24" customWidth="1"/>
    <col min="6402" max="6402" width="12.140625" style="24" customWidth="1"/>
    <col min="6403" max="6403" width="11.5703125" style="24" customWidth="1"/>
    <col min="6404" max="6404" width="10.28515625" style="24" bestFit="1" customWidth="1"/>
    <col min="6405" max="6405" width="12.140625" style="24" customWidth="1"/>
    <col min="6406" max="6406" width="10.7109375" style="24" customWidth="1"/>
    <col min="6407" max="6409" width="10.28515625" style="24" customWidth="1"/>
    <col min="6410" max="6410" width="9.5703125" style="24" customWidth="1"/>
    <col min="6411" max="6411" width="10.42578125" style="24" customWidth="1"/>
    <col min="6412" max="6412" width="9.140625" style="24"/>
    <col min="6413" max="6413" width="10.42578125" style="24" bestFit="1" customWidth="1"/>
    <col min="6414" max="6653" width="9.140625" style="24"/>
    <col min="6654" max="6654" width="4.28515625" style="24" customWidth="1"/>
    <col min="6655" max="6655" width="8.85546875" style="24" customWidth="1"/>
    <col min="6656" max="6656" width="60.5703125" style="24" customWidth="1"/>
    <col min="6657" max="6657" width="5.85546875" style="24" customWidth="1"/>
    <col min="6658" max="6658" width="12.140625" style="24" customWidth="1"/>
    <col min="6659" max="6659" width="11.5703125" style="24" customWidth="1"/>
    <col min="6660" max="6660" width="10.28515625" style="24" bestFit="1" customWidth="1"/>
    <col min="6661" max="6661" width="12.140625" style="24" customWidth="1"/>
    <col min="6662" max="6662" width="10.7109375" style="24" customWidth="1"/>
    <col min="6663" max="6665" width="10.28515625" style="24" customWidth="1"/>
    <col min="6666" max="6666" width="9.5703125" style="24" customWidth="1"/>
    <col min="6667" max="6667" width="10.42578125" style="24" customWidth="1"/>
    <col min="6668" max="6668" width="9.140625" style="24"/>
    <col min="6669" max="6669" width="10.42578125" style="24" bestFit="1" customWidth="1"/>
    <col min="6670" max="6909" width="9.140625" style="24"/>
    <col min="6910" max="6910" width="4.28515625" style="24" customWidth="1"/>
    <col min="6911" max="6911" width="8.85546875" style="24" customWidth="1"/>
    <col min="6912" max="6912" width="60.5703125" style="24" customWidth="1"/>
    <col min="6913" max="6913" width="5.85546875" style="24" customWidth="1"/>
    <col min="6914" max="6914" width="12.140625" style="24" customWidth="1"/>
    <col min="6915" max="6915" width="11.5703125" style="24" customWidth="1"/>
    <col min="6916" max="6916" width="10.28515625" style="24" bestFit="1" customWidth="1"/>
    <col min="6917" max="6917" width="12.140625" style="24" customWidth="1"/>
    <col min="6918" max="6918" width="10.7109375" style="24" customWidth="1"/>
    <col min="6919" max="6921" width="10.28515625" style="24" customWidth="1"/>
    <col min="6922" max="6922" width="9.5703125" style="24" customWidth="1"/>
    <col min="6923" max="6923" width="10.42578125" style="24" customWidth="1"/>
    <col min="6924" max="6924" width="9.140625" style="24"/>
    <col min="6925" max="6925" width="10.42578125" style="24" bestFit="1" customWidth="1"/>
    <col min="6926" max="7165" width="9.140625" style="24"/>
    <col min="7166" max="7166" width="4.28515625" style="24" customWidth="1"/>
    <col min="7167" max="7167" width="8.85546875" style="24" customWidth="1"/>
    <col min="7168" max="7168" width="60.5703125" style="24" customWidth="1"/>
    <col min="7169" max="7169" width="5.85546875" style="24" customWidth="1"/>
    <col min="7170" max="7170" width="12.140625" style="24" customWidth="1"/>
    <col min="7171" max="7171" width="11.5703125" style="24" customWidth="1"/>
    <col min="7172" max="7172" width="10.28515625" style="24" bestFit="1" customWidth="1"/>
    <col min="7173" max="7173" width="12.140625" style="24" customWidth="1"/>
    <col min="7174" max="7174" width="10.7109375" style="24" customWidth="1"/>
    <col min="7175" max="7177" width="10.28515625" style="24" customWidth="1"/>
    <col min="7178" max="7178" width="9.5703125" style="24" customWidth="1"/>
    <col min="7179" max="7179" width="10.42578125" style="24" customWidth="1"/>
    <col min="7180" max="7180" width="9.140625" style="24"/>
    <col min="7181" max="7181" width="10.42578125" style="24" bestFit="1" customWidth="1"/>
    <col min="7182" max="7421" width="9.140625" style="24"/>
    <col min="7422" max="7422" width="4.28515625" style="24" customWidth="1"/>
    <col min="7423" max="7423" width="8.85546875" style="24" customWidth="1"/>
    <col min="7424" max="7424" width="60.5703125" style="24" customWidth="1"/>
    <col min="7425" max="7425" width="5.85546875" style="24" customWidth="1"/>
    <col min="7426" max="7426" width="12.140625" style="24" customWidth="1"/>
    <col min="7427" max="7427" width="11.5703125" style="24" customWidth="1"/>
    <col min="7428" max="7428" width="10.28515625" style="24" bestFit="1" customWidth="1"/>
    <col min="7429" max="7429" width="12.140625" style="24" customWidth="1"/>
    <col min="7430" max="7430" width="10.7109375" style="24" customWidth="1"/>
    <col min="7431" max="7433" width="10.28515625" style="24" customWidth="1"/>
    <col min="7434" max="7434" width="9.5703125" style="24" customWidth="1"/>
    <col min="7435" max="7435" width="10.42578125" style="24" customWidth="1"/>
    <col min="7436" max="7436" width="9.140625" style="24"/>
    <col min="7437" max="7437" width="10.42578125" style="24" bestFit="1" customWidth="1"/>
    <col min="7438" max="7677" width="9.140625" style="24"/>
    <col min="7678" max="7678" width="4.28515625" style="24" customWidth="1"/>
    <col min="7679" max="7679" width="8.85546875" style="24" customWidth="1"/>
    <col min="7680" max="7680" width="60.5703125" style="24" customWidth="1"/>
    <col min="7681" max="7681" width="5.85546875" style="24" customWidth="1"/>
    <col min="7682" max="7682" width="12.140625" style="24" customWidth="1"/>
    <col min="7683" max="7683" width="11.5703125" style="24" customWidth="1"/>
    <col min="7684" max="7684" width="10.28515625" style="24" bestFit="1" customWidth="1"/>
    <col min="7685" max="7685" width="12.140625" style="24" customWidth="1"/>
    <col min="7686" max="7686" width="10.7109375" style="24" customWidth="1"/>
    <col min="7687" max="7689" width="10.28515625" style="24" customWidth="1"/>
    <col min="7690" max="7690" width="9.5703125" style="24" customWidth="1"/>
    <col min="7691" max="7691" width="10.42578125" style="24" customWidth="1"/>
    <col min="7692" max="7692" width="9.140625" style="24"/>
    <col min="7693" max="7693" width="10.42578125" style="24" bestFit="1" customWidth="1"/>
    <col min="7694" max="7933" width="9.140625" style="24"/>
    <col min="7934" max="7934" width="4.28515625" style="24" customWidth="1"/>
    <col min="7935" max="7935" width="8.85546875" style="24" customWidth="1"/>
    <col min="7936" max="7936" width="60.5703125" style="24" customWidth="1"/>
    <col min="7937" max="7937" width="5.85546875" style="24" customWidth="1"/>
    <col min="7938" max="7938" width="12.140625" style="24" customWidth="1"/>
    <col min="7939" max="7939" width="11.5703125" style="24" customWidth="1"/>
    <col min="7940" max="7940" width="10.28515625" style="24" bestFit="1" customWidth="1"/>
    <col min="7941" max="7941" width="12.140625" style="24" customWidth="1"/>
    <col min="7942" max="7942" width="10.7109375" style="24" customWidth="1"/>
    <col min="7943" max="7945" width="10.28515625" style="24" customWidth="1"/>
    <col min="7946" max="7946" width="9.5703125" style="24" customWidth="1"/>
    <col min="7947" max="7947" width="10.42578125" style="24" customWidth="1"/>
    <col min="7948" max="7948" width="9.140625" style="24"/>
    <col min="7949" max="7949" width="10.42578125" style="24" bestFit="1" customWidth="1"/>
    <col min="7950" max="8189" width="9.140625" style="24"/>
    <col min="8190" max="8190" width="4.28515625" style="24" customWidth="1"/>
    <col min="8191" max="8191" width="8.85546875" style="24" customWidth="1"/>
    <col min="8192" max="8192" width="60.5703125" style="24" customWidth="1"/>
    <col min="8193" max="8193" width="5.85546875" style="24" customWidth="1"/>
    <col min="8194" max="8194" width="12.140625" style="24" customWidth="1"/>
    <col min="8195" max="8195" width="11.5703125" style="24" customWidth="1"/>
    <col min="8196" max="8196" width="10.28515625" style="24" bestFit="1" customWidth="1"/>
    <col min="8197" max="8197" width="12.140625" style="24" customWidth="1"/>
    <col min="8198" max="8198" width="10.7109375" style="24" customWidth="1"/>
    <col min="8199" max="8201" width="10.28515625" style="24" customWidth="1"/>
    <col min="8202" max="8202" width="9.5703125" style="24" customWidth="1"/>
    <col min="8203" max="8203" width="10.42578125" style="24" customWidth="1"/>
    <col min="8204" max="8204" width="9.140625" style="24"/>
    <col min="8205" max="8205" width="10.42578125" style="24" bestFit="1" customWidth="1"/>
    <col min="8206" max="8445" width="9.140625" style="24"/>
    <col min="8446" max="8446" width="4.28515625" style="24" customWidth="1"/>
    <col min="8447" max="8447" width="8.85546875" style="24" customWidth="1"/>
    <col min="8448" max="8448" width="60.5703125" style="24" customWidth="1"/>
    <col min="8449" max="8449" width="5.85546875" style="24" customWidth="1"/>
    <col min="8450" max="8450" width="12.140625" style="24" customWidth="1"/>
    <col min="8451" max="8451" width="11.5703125" style="24" customWidth="1"/>
    <col min="8452" max="8452" width="10.28515625" style="24" bestFit="1" customWidth="1"/>
    <col min="8453" max="8453" width="12.140625" style="24" customWidth="1"/>
    <col min="8454" max="8454" width="10.7109375" style="24" customWidth="1"/>
    <col min="8455" max="8457" width="10.28515625" style="24" customWidth="1"/>
    <col min="8458" max="8458" width="9.5703125" style="24" customWidth="1"/>
    <col min="8459" max="8459" width="10.42578125" style="24" customWidth="1"/>
    <col min="8460" max="8460" width="9.140625" style="24"/>
    <col min="8461" max="8461" width="10.42578125" style="24" bestFit="1" customWidth="1"/>
    <col min="8462" max="8701" width="9.140625" style="24"/>
    <col min="8702" max="8702" width="4.28515625" style="24" customWidth="1"/>
    <col min="8703" max="8703" width="8.85546875" style="24" customWidth="1"/>
    <col min="8704" max="8704" width="60.5703125" style="24" customWidth="1"/>
    <col min="8705" max="8705" width="5.85546875" style="24" customWidth="1"/>
    <col min="8706" max="8706" width="12.140625" style="24" customWidth="1"/>
    <col min="8707" max="8707" width="11.5703125" style="24" customWidth="1"/>
    <col min="8708" max="8708" width="10.28515625" style="24" bestFit="1" customWidth="1"/>
    <col min="8709" max="8709" width="12.140625" style="24" customWidth="1"/>
    <col min="8710" max="8710" width="10.7109375" style="24" customWidth="1"/>
    <col min="8711" max="8713" width="10.28515625" style="24" customWidth="1"/>
    <col min="8714" max="8714" width="9.5703125" style="24" customWidth="1"/>
    <col min="8715" max="8715" width="10.42578125" style="24" customWidth="1"/>
    <col min="8716" max="8716" width="9.140625" style="24"/>
    <col min="8717" max="8717" width="10.42578125" style="24" bestFit="1" customWidth="1"/>
    <col min="8718" max="8957" width="9.140625" style="24"/>
    <col min="8958" max="8958" width="4.28515625" style="24" customWidth="1"/>
    <col min="8959" max="8959" width="8.85546875" style="24" customWidth="1"/>
    <col min="8960" max="8960" width="60.5703125" style="24" customWidth="1"/>
    <col min="8961" max="8961" width="5.85546875" style="24" customWidth="1"/>
    <col min="8962" max="8962" width="12.140625" style="24" customWidth="1"/>
    <col min="8963" max="8963" width="11.5703125" style="24" customWidth="1"/>
    <col min="8964" max="8964" width="10.28515625" style="24" bestFit="1" customWidth="1"/>
    <col min="8965" max="8965" width="12.140625" style="24" customWidth="1"/>
    <col min="8966" max="8966" width="10.7109375" style="24" customWidth="1"/>
    <col min="8967" max="8969" width="10.28515625" style="24" customWidth="1"/>
    <col min="8970" max="8970" width="9.5703125" style="24" customWidth="1"/>
    <col min="8971" max="8971" width="10.42578125" style="24" customWidth="1"/>
    <col min="8972" max="8972" width="9.140625" style="24"/>
    <col min="8973" max="8973" width="10.42578125" style="24" bestFit="1" customWidth="1"/>
    <col min="8974" max="9213" width="9.140625" style="24"/>
    <col min="9214" max="9214" width="4.28515625" style="24" customWidth="1"/>
    <col min="9215" max="9215" width="8.85546875" style="24" customWidth="1"/>
    <col min="9216" max="9216" width="60.5703125" style="24" customWidth="1"/>
    <col min="9217" max="9217" width="5.85546875" style="24" customWidth="1"/>
    <col min="9218" max="9218" width="12.140625" style="24" customWidth="1"/>
    <col min="9219" max="9219" width="11.5703125" style="24" customWidth="1"/>
    <col min="9220" max="9220" width="10.28515625" style="24" bestFit="1" customWidth="1"/>
    <col min="9221" max="9221" width="12.140625" style="24" customWidth="1"/>
    <col min="9222" max="9222" width="10.7109375" style="24" customWidth="1"/>
    <col min="9223" max="9225" width="10.28515625" style="24" customWidth="1"/>
    <col min="9226" max="9226" width="9.5703125" style="24" customWidth="1"/>
    <col min="9227" max="9227" width="10.42578125" style="24" customWidth="1"/>
    <col min="9228" max="9228" width="9.140625" style="24"/>
    <col min="9229" max="9229" width="10.42578125" style="24" bestFit="1" customWidth="1"/>
    <col min="9230" max="9469" width="9.140625" style="24"/>
    <col min="9470" max="9470" width="4.28515625" style="24" customWidth="1"/>
    <col min="9471" max="9471" width="8.85546875" style="24" customWidth="1"/>
    <col min="9472" max="9472" width="60.5703125" style="24" customWidth="1"/>
    <col min="9473" max="9473" width="5.85546875" style="24" customWidth="1"/>
    <col min="9474" max="9474" width="12.140625" style="24" customWidth="1"/>
    <col min="9475" max="9475" width="11.5703125" style="24" customWidth="1"/>
    <col min="9476" max="9476" width="10.28515625" style="24" bestFit="1" customWidth="1"/>
    <col min="9477" max="9477" width="12.140625" style="24" customWidth="1"/>
    <col min="9478" max="9478" width="10.7109375" style="24" customWidth="1"/>
    <col min="9479" max="9481" width="10.28515625" style="24" customWidth="1"/>
    <col min="9482" max="9482" width="9.5703125" style="24" customWidth="1"/>
    <col min="9483" max="9483" width="10.42578125" style="24" customWidth="1"/>
    <col min="9484" max="9484" width="9.140625" style="24"/>
    <col min="9485" max="9485" width="10.42578125" style="24" bestFit="1" customWidth="1"/>
    <col min="9486" max="9725" width="9.140625" style="24"/>
    <col min="9726" max="9726" width="4.28515625" style="24" customWidth="1"/>
    <col min="9727" max="9727" width="8.85546875" style="24" customWidth="1"/>
    <col min="9728" max="9728" width="60.5703125" style="24" customWidth="1"/>
    <col min="9729" max="9729" width="5.85546875" style="24" customWidth="1"/>
    <col min="9730" max="9730" width="12.140625" style="24" customWidth="1"/>
    <col min="9731" max="9731" width="11.5703125" style="24" customWidth="1"/>
    <col min="9732" max="9732" width="10.28515625" style="24" bestFit="1" customWidth="1"/>
    <col min="9733" max="9733" width="12.140625" style="24" customWidth="1"/>
    <col min="9734" max="9734" width="10.7109375" style="24" customWidth="1"/>
    <col min="9735" max="9737" width="10.28515625" style="24" customWidth="1"/>
    <col min="9738" max="9738" width="9.5703125" style="24" customWidth="1"/>
    <col min="9739" max="9739" width="10.42578125" style="24" customWidth="1"/>
    <col min="9740" max="9740" width="9.140625" style="24"/>
    <col min="9741" max="9741" width="10.42578125" style="24" bestFit="1" customWidth="1"/>
    <col min="9742" max="9981" width="9.140625" style="24"/>
    <col min="9982" max="9982" width="4.28515625" style="24" customWidth="1"/>
    <col min="9983" max="9983" width="8.85546875" style="24" customWidth="1"/>
    <col min="9984" max="9984" width="60.5703125" style="24" customWidth="1"/>
    <col min="9985" max="9985" width="5.85546875" style="24" customWidth="1"/>
    <col min="9986" max="9986" width="12.140625" style="24" customWidth="1"/>
    <col min="9987" max="9987" width="11.5703125" style="24" customWidth="1"/>
    <col min="9988" max="9988" width="10.28515625" style="24" bestFit="1" customWidth="1"/>
    <col min="9989" max="9989" width="12.140625" style="24" customWidth="1"/>
    <col min="9990" max="9990" width="10.7109375" style="24" customWidth="1"/>
    <col min="9991" max="9993" width="10.28515625" style="24" customWidth="1"/>
    <col min="9994" max="9994" width="9.5703125" style="24" customWidth="1"/>
    <col min="9995" max="9995" width="10.42578125" style="24" customWidth="1"/>
    <col min="9996" max="9996" width="9.140625" style="24"/>
    <col min="9997" max="9997" width="10.42578125" style="24" bestFit="1" customWidth="1"/>
    <col min="9998" max="10237" width="9.140625" style="24"/>
    <col min="10238" max="10238" width="4.28515625" style="24" customWidth="1"/>
    <col min="10239" max="10239" width="8.85546875" style="24" customWidth="1"/>
    <col min="10240" max="10240" width="60.5703125" style="24" customWidth="1"/>
    <col min="10241" max="10241" width="5.85546875" style="24" customWidth="1"/>
    <col min="10242" max="10242" width="12.140625" style="24" customWidth="1"/>
    <col min="10243" max="10243" width="11.5703125" style="24" customWidth="1"/>
    <col min="10244" max="10244" width="10.28515625" style="24" bestFit="1" customWidth="1"/>
    <col min="10245" max="10245" width="12.140625" style="24" customWidth="1"/>
    <col min="10246" max="10246" width="10.7109375" style="24" customWidth="1"/>
    <col min="10247" max="10249" width="10.28515625" style="24" customWidth="1"/>
    <col min="10250" max="10250" width="9.5703125" style="24" customWidth="1"/>
    <col min="10251" max="10251" width="10.42578125" style="24" customWidth="1"/>
    <col min="10252" max="10252" width="9.140625" style="24"/>
    <col min="10253" max="10253" width="10.42578125" style="24" bestFit="1" customWidth="1"/>
    <col min="10254" max="10493" width="9.140625" style="24"/>
    <col min="10494" max="10494" width="4.28515625" style="24" customWidth="1"/>
    <col min="10495" max="10495" width="8.85546875" style="24" customWidth="1"/>
    <col min="10496" max="10496" width="60.5703125" style="24" customWidth="1"/>
    <col min="10497" max="10497" width="5.85546875" style="24" customWidth="1"/>
    <col min="10498" max="10498" width="12.140625" style="24" customWidth="1"/>
    <col min="10499" max="10499" width="11.5703125" style="24" customWidth="1"/>
    <col min="10500" max="10500" width="10.28515625" style="24" bestFit="1" customWidth="1"/>
    <col min="10501" max="10501" width="12.140625" style="24" customWidth="1"/>
    <col min="10502" max="10502" width="10.7109375" style="24" customWidth="1"/>
    <col min="10503" max="10505" width="10.28515625" style="24" customWidth="1"/>
    <col min="10506" max="10506" width="9.5703125" style="24" customWidth="1"/>
    <col min="10507" max="10507" width="10.42578125" style="24" customWidth="1"/>
    <col min="10508" max="10508" width="9.140625" style="24"/>
    <col min="10509" max="10509" width="10.42578125" style="24" bestFit="1" customWidth="1"/>
    <col min="10510" max="10749" width="9.140625" style="24"/>
    <col min="10750" max="10750" width="4.28515625" style="24" customWidth="1"/>
    <col min="10751" max="10751" width="8.85546875" style="24" customWidth="1"/>
    <col min="10752" max="10752" width="60.5703125" style="24" customWidth="1"/>
    <col min="10753" max="10753" width="5.85546875" style="24" customWidth="1"/>
    <col min="10754" max="10754" width="12.140625" style="24" customWidth="1"/>
    <col min="10755" max="10755" width="11.5703125" style="24" customWidth="1"/>
    <col min="10756" max="10756" width="10.28515625" style="24" bestFit="1" customWidth="1"/>
    <col min="10757" max="10757" width="12.140625" style="24" customWidth="1"/>
    <col min="10758" max="10758" width="10.7109375" style="24" customWidth="1"/>
    <col min="10759" max="10761" width="10.28515625" style="24" customWidth="1"/>
    <col min="10762" max="10762" width="9.5703125" style="24" customWidth="1"/>
    <col min="10763" max="10763" width="10.42578125" style="24" customWidth="1"/>
    <col min="10764" max="10764" width="9.140625" style="24"/>
    <col min="10765" max="10765" width="10.42578125" style="24" bestFit="1" customWidth="1"/>
    <col min="10766" max="11005" width="9.140625" style="24"/>
    <col min="11006" max="11006" width="4.28515625" style="24" customWidth="1"/>
    <col min="11007" max="11007" width="8.85546875" style="24" customWidth="1"/>
    <col min="11008" max="11008" width="60.5703125" style="24" customWidth="1"/>
    <col min="11009" max="11009" width="5.85546875" style="24" customWidth="1"/>
    <col min="11010" max="11010" width="12.140625" style="24" customWidth="1"/>
    <col min="11011" max="11011" width="11.5703125" style="24" customWidth="1"/>
    <col min="11012" max="11012" width="10.28515625" style="24" bestFit="1" customWidth="1"/>
    <col min="11013" max="11013" width="12.140625" style="24" customWidth="1"/>
    <col min="11014" max="11014" width="10.7109375" style="24" customWidth="1"/>
    <col min="11015" max="11017" width="10.28515625" style="24" customWidth="1"/>
    <col min="11018" max="11018" width="9.5703125" style="24" customWidth="1"/>
    <col min="11019" max="11019" width="10.42578125" style="24" customWidth="1"/>
    <col min="11020" max="11020" width="9.140625" style="24"/>
    <col min="11021" max="11021" width="10.42578125" style="24" bestFit="1" customWidth="1"/>
    <col min="11022" max="11261" width="9.140625" style="24"/>
    <col min="11262" max="11262" width="4.28515625" style="24" customWidth="1"/>
    <col min="11263" max="11263" width="8.85546875" style="24" customWidth="1"/>
    <col min="11264" max="11264" width="60.5703125" style="24" customWidth="1"/>
    <col min="11265" max="11265" width="5.85546875" style="24" customWidth="1"/>
    <col min="11266" max="11266" width="12.140625" style="24" customWidth="1"/>
    <col min="11267" max="11267" width="11.5703125" style="24" customWidth="1"/>
    <col min="11268" max="11268" width="10.28515625" style="24" bestFit="1" customWidth="1"/>
    <col min="11269" max="11269" width="12.140625" style="24" customWidth="1"/>
    <col min="11270" max="11270" width="10.7109375" style="24" customWidth="1"/>
    <col min="11271" max="11273" width="10.28515625" style="24" customWidth="1"/>
    <col min="11274" max="11274" width="9.5703125" style="24" customWidth="1"/>
    <col min="11275" max="11275" width="10.42578125" style="24" customWidth="1"/>
    <col min="11276" max="11276" width="9.140625" style="24"/>
    <col min="11277" max="11277" width="10.42578125" style="24" bestFit="1" customWidth="1"/>
    <col min="11278" max="11517" width="9.140625" style="24"/>
    <col min="11518" max="11518" width="4.28515625" style="24" customWidth="1"/>
    <col min="11519" max="11519" width="8.85546875" style="24" customWidth="1"/>
    <col min="11520" max="11520" width="60.5703125" style="24" customWidth="1"/>
    <col min="11521" max="11521" width="5.85546875" style="24" customWidth="1"/>
    <col min="11522" max="11522" width="12.140625" style="24" customWidth="1"/>
    <col min="11523" max="11523" width="11.5703125" style="24" customWidth="1"/>
    <col min="11524" max="11524" width="10.28515625" style="24" bestFit="1" customWidth="1"/>
    <col min="11525" max="11525" width="12.140625" style="24" customWidth="1"/>
    <col min="11526" max="11526" width="10.7109375" style="24" customWidth="1"/>
    <col min="11527" max="11529" width="10.28515625" style="24" customWidth="1"/>
    <col min="11530" max="11530" width="9.5703125" style="24" customWidth="1"/>
    <col min="11531" max="11531" width="10.42578125" style="24" customWidth="1"/>
    <col min="11532" max="11532" width="9.140625" style="24"/>
    <col min="11533" max="11533" width="10.42578125" style="24" bestFit="1" customWidth="1"/>
    <col min="11534" max="11773" width="9.140625" style="24"/>
    <col min="11774" max="11774" width="4.28515625" style="24" customWidth="1"/>
    <col min="11775" max="11775" width="8.85546875" style="24" customWidth="1"/>
    <col min="11776" max="11776" width="60.5703125" style="24" customWidth="1"/>
    <col min="11777" max="11777" width="5.85546875" style="24" customWidth="1"/>
    <col min="11778" max="11778" width="12.140625" style="24" customWidth="1"/>
    <col min="11779" max="11779" width="11.5703125" style="24" customWidth="1"/>
    <col min="11780" max="11780" width="10.28515625" style="24" bestFit="1" customWidth="1"/>
    <col min="11781" max="11781" width="12.140625" style="24" customWidth="1"/>
    <col min="11782" max="11782" width="10.7109375" style="24" customWidth="1"/>
    <col min="11783" max="11785" width="10.28515625" style="24" customWidth="1"/>
    <col min="11786" max="11786" width="9.5703125" style="24" customWidth="1"/>
    <col min="11787" max="11787" width="10.42578125" style="24" customWidth="1"/>
    <col min="11788" max="11788" width="9.140625" style="24"/>
    <col min="11789" max="11789" width="10.42578125" style="24" bestFit="1" customWidth="1"/>
    <col min="11790" max="12029" width="9.140625" style="24"/>
    <col min="12030" max="12030" width="4.28515625" style="24" customWidth="1"/>
    <col min="12031" max="12031" width="8.85546875" style="24" customWidth="1"/>
    <col min="12032" max="12032" width="60.5703125" style="24" customWidth="1"/>
    <col min="12033" max="12033" width="5.85546875" style="24" customWidth="1"/>
    <col min="12034" max="12034" width="12.140625" style="24" customWidth="1"/>
    <col min="12035" max="12035" width="11.5703125" style="24" customWidth="1"/>
    <col min="12036" max="12036" width="10.28515625" style="24" bestFit="1" customWidth="1"/>
    <col min="12037" max="12037" width="12.140625" style="24" customWidth="1"/>
    <col min="12038" max="12038" width="10.7109375" style="24" customWidth="1"/>
    <col min="12039" max="12041" width="10.28515625" style="24" customWidth="1"/>
    <col min="12042" max="12042" width="9.5703125" style="24" customWidth="1"/>
    <col min="12043" max="12043" width="10.42578125" style="24" customWidth="1"/>
    <col min="12044" max="12044" width="9.140625" style="24"/>
    <col min="12045" max="12045" width="10.42578125" style="24" bestFit="1" customWidth="1"/>
    <col min="12046" max="12285" width="9.140625" style="24"/>
    <col min="12286" max="12286" width="4.28515625" style="24" customWidth="1"/>
    <col min="12287" max="12287" width="8.85546875" style="24" customWidth="1"/>
    <col min="12288" max="12288" width="60.5703125" style="24" customWidth="1"/>
    <col min="12289" max="12289" width="5.85546875" style="24" customWidth="1"/>
    <col min="12290" max="12290" width="12.140625" style="24" customWidth="1"/>
    <col min="12291" max="12291" width="11.5703125" style="24" customWidth="1"/>
    <col min="12292" max="12292" width="10.28515625" style="24" bestFit="1" customWidth="1"/>
    <col min="12293" max="12293" width="12.140625" style="24" customWidth="1"/>
    <col min="12294" max="12294" width="10.7109375" style="24" customWidth="1"/>
    <col min="12295" max="12297" width="10.28515625" style="24" customWidth="1"/>
    <col min="12298" max="12298" width="9.5703125" style="24" customWidth="1"/>
    <col min="12299" max="12299" width="10.42578125" style="24" customWidth="1"/>
    <col min="12300" max="12300" width="9.140625" style="24"/>
    <col min="12301" max="12301" width="10.42578125" style="24" bestFit="1" customWidth="1"/>
    <col min="12302" max="12541" width="9.140625" style="24"/>
    <col min="12542" max="12542" width="4.28515625" style="24" customWidth="1"/>
    <col min="12543" max="12543" width="8.85546875" style="24" customWidth="1"/>
    <col min="12544" max="12544" width="60.5703125" style="24" customWidth="1"/>
    <col min="12545" max="12545" width="5.85546875" style="24" customWidth="1"/>
    <col min="12546" max="12546" width="12.140625" style="24" customWidth="1"/>
    <col min="12547" max="12547" width="11.5703125" style="24" customWidth="1"/>
    <col min="12548" max="12548" width="10.28515625" style="24" bestFit="1" customWidth="1"/>
    <col min="12549" max="12549" width="12.140625" style="24" customWidth="1"/>
    <col min="12550" max="12550" width="10.7109375" style="24" customWidth="1"/>
    <col min="12551" max="12553" width="10.28515625" style="24" customWidth="1"/>
    <col min="12554" max="12554" width="9.5703125" style="24" customWidth="1"/>
    <col min="12555" max="12555" width="10.42578125" style="24" customWidth="1"/>
    <col min="12556" max="12556" width="9.140625" style="24"/>
    <col min="12557" max="12557" width="10.42578125" style="24" bestFit="1" customWidth="1"/>
    <col min="12558" max="12797" width="9.140625" style="24"/>
    <col min="12798" max="12798" width="4.28515625" style="24" customWidth="1"/>
    <col min="12799" max="12799" width="8.85546875" style="24" customWidth="1"/>
    <col min="12800" max="12800" width="60.5703125" style="24" customWidth="1"/>
    <col min="12801" max="12801" width="5.85546875" style="24" customWidth="1"/>
    <col min="12802" max="12802" width="12.140625" style="24" customWidth="1"/>
    <col min="12803" max="12803" width="11.5703125" style="24" customWidth="1"/>
    <col min="12804" max="12804" width="10.28515625" style="24" bestFit="1" customWidth="1"/>
    <col min="12805" max="12805" width="12.140625" style="24" customWidth="1"/>
    <col min="12806" max="12806" width="10.7109375" style="24" customWidth="1"/>
    <col min="12807" max="12809" width="10.28515625" style="24" customWidth="1"/>
    <col min="12810" max="12810" width="9.5703125" style="24" customWidth="1"/>
    <col min="12811" max="12811" width="10.42578125" style="24" customWidth="1"/>
    <col min="12812" max="12812" width="9.140625" style="24"/>
    <col min="12813" max="12813" width="10.42578125" style="24" bestFit="1" customWidth="1"/>
    <col min="12814" max="13053" width="9.140625" style="24"/>
    <col min="13054" max="13054" width="4.28515625" style="24" customWidth="1"/>
    <col min="13055" max="13055" width="8.85546875" style="24" customWidth="1"/>
    <col min="13056" max="13056" width="60.5703125" style="24" customWidth="1"/>
    <col min="13057" max="13057" width="5.85546875" style="24" customWidth="1"/>
    <col min="13058" max="13058" width="12.140625" style="24" customWidth="1"/>
    <col min="13059" max="13059" width="11.5703125" style="24" customWidth="1"/>
    <col min="13060" max="13060" width="10.28515625" style="24" bestFit="1" customWidth="1"/>
    <col min="13061" max="13061" width="12.140625" style="24" customWidth="1"/>
    <col min="13062" max="13062" width="10.7109375" style="24" customWidth="1"/>
    <col min="13063" max="13065" width="10.28515625" style="24" customWidth="1"/>
    <col min="13066" max="13066" width="9.5703125" style="24" customWidth="1"/>
    <col min="13067" max="13067" width="10.42578125" style="24" customWidth="1"/>
    <col min="13068" max="13068" width="9.140625" style="24"/>
    <col min="13069" max="13069" width="10.42578125" style="24" bestFit="1" customWidth="1"/>
    <col min="13070" max="13309" width="9.140625" style="24"/>
    <col min="13310" max="13310" width="4.28515625" style="24" customWidth="1"/>
    <col min="13311" max="13311" width="8.85546875" style="24" customWidth="1"/>
    <col min="13312" max="13312" width="60.5703125" style="24" customWidth="1"/>
    <col min="13313" max="13313" width="5.85546875" style="24" customWidth="1"/>
    <col min="13314" max="13314" width="12.140625" style="24" customWidth="1"/>
    <col min="13315" max="13315" width="11.5703125" style="24" customWidth="1"/>
    <col min="13316" max="13316" width="10.28515625" style="24" bestFit="1" customWidth="1"/>
    <col min="13317" max="13317" width="12.140625" style="24" customWidth="1"/>
    <col min="13318" max="13318" width="10.7109375" style="24" customWidth="1"/>
    <col min="13319" max="13321" width="10.28515625" style="24" customWidth="1"/>
    <col min="13322" max="13322" width="9.5703125" style="24" customWidth="1"/>
    <col min="13323" max="13323" width="10.42578125" style="24" customWidth="1"/>
    <col min="13324" max="13324" width="9.140625" style="24"/>
    <col min="13325" max="13325" width="10.42578125" style="24" bestFit="1" customWidth="1"/>
    <col min="13326" max="13565" width="9.140625" style="24"/>
    <col min="13566" max="13566" width="4.28515625" style="24" customWidth="1"/>
    <col min="13567" max="13567" width="8.85546875" style="24" customWidth="1"/>
    <col min="13568" max="13568" width="60.5703125" style="24" customWidth="1"/>
    <col min="13569" max="13569" width="5.85546875" style="24" customWidth="1"/>
    <col min="13570" max="13570" width="12.140625" style="24" customWidth="1"/>
    <col min="13571" max="13571" width="11.5703125" style="24" customWidth="1"/>
    <col min="13572" max="13572" width="10.28515625" style="24" bestFit="1" customWidth="1"/>
    <col min="13573" max="13573" width="12.140625" style="24" customWidth="1"/>
    <col min="13574" max="13574" width="10.7109375" style="24" customWidth="1"/>
    <col min="13575" max="13577" width="10.28515625" style="24" customWidth="1"/>
    <col min="13578" max="13578" width="9.5703125" style="24" customWidth="1"/>
    <col min="13579" max="13579" width="10.42578125" style="24" customWidth="1"/>
    <col min="13580" max="13580" width="9.140625" style="24"/>
    <col min="13581" max="13581" width="10.42578125" style="24" bestFit="1" customWidth="1"/>
    <col min="13582" max="13821" width="9.140625" style="24"/>
    <col min="13822" max="13822" width="4.28515625" style="24" customWidth="1"/>
    <col min="13823" max="13823" width="8.85546875" style="24" customWidth="1"/>
    <col min="13824" max="13824" width="60.5703125" style="24" customWidth="1"/>
    <col min="13825" max="13825" width="5.85546875" style="24" customWidth="1"/>
    <col min="13826" max="13826" width="12.140625" style="24" customWidth="1"/>
    <col min="13827" max="13827" width="11.5703125" style="24" customWidth="1"/>
    <col min="13828" max="13828" width="10.28515625" style="24" bestFit="1" customWidth="1"/>
    <col min="13829" max="13829" width="12.140625" style="24" customWidth="1"/>
    <col min="13830" max="13830" width="10.7109375" style="24" customWidth="1"/>
    <col min="13831" max="13833" width="10.28515625" style="24" customWidth="1"/>
    <col min="13834" max="13834" width="9.5703125" style="24" customWidth="1"/>
    <col min="13835" max="13835" width="10.42578125" style="24" customWidth="1"/>
    <col min="13836" max="13836" width="9.140625" style="24"/>
    <col min="13837" max="13837" width="10.42578125" style="24" bestFit="1" customWidth="1"/>
    <col min="13838" max="14077" width="9.140625" style="24"/>
    <col min="14078" max="14078" width="4.28515625" style="24" customWidth="1"/>
    <col min="14079" max="14079" width="8.85546875" style="24" customWidth="1"/>
    <col min="14080" max="14080" width="60.5703125" style="24" customWidth="1"/>
    <col min="14081" max="14081" width="5.85546875" style="24" customWidth="1"/>
    <col min="14082" max="14082" width="12.140625" style="24" customWidth="1"/>
    <col min="14083" max="14083" width="11.5703125" style="24" customWidth="1"/>
    <col min="14084" max="14084" width="10.28515625" style="24" bestFit="1" customWidth="1"/>
    <col min="14085" max="14085" width="12.140625" style="24" customWidth="1"/>
    <col min="14086" max="14086" width="10.7109375" style="24" customWidth="1"/>
    <col min="14087" max="14089" width="10.28515625" style="24" customWidth="1"/>
    <col min="14090" max="14090" width="9.5703125" style="24" customWidth="1"/>
    <col min="14091" max="14091" width="10.42578125" style="24" customWidth="1"/>
    <col min="14092" max="14092" width="9.140625" style="24"/>
    <col min="14093" max="14093" width="10.42578125" style="24" bestFit="1" customWidth="1"/>
    <col min="14094" max="14333" width="9.140625" style="24"/>
    <col min="14334" max="14334" width="4.28515625" style="24" customWidth="1"/>
    <col min="14335" max="14335" width="8.85546875" style="24" customWidth="1"/>
    <col min="14336" max="14336" width="60.5703125" style="24" customWidth="1"/>
    <col min="14337" max="14337" width="5.85546875" style="24" customWidth="1"/>
    <col min="14338" max="14338" width="12.140625" style="24" customWidth="1"/>
    <col min="14339" max="14339" width="11.5703125" style="24" customWidth="1"/>
    <col min="14340" max="14340" width="10.28515625" style="24" bestFit="1" customWidth="1"/>
    <col min="14341" max="14341" width="12.140625" style="24" customWidth="1"/>
    <col min="14342" max="14342" width="10.7109375" style="24" customWidth="1"/>
    <col min="14343" max="14345" width="10.28515625" style="24" customWidth="1"/>
    <col min="14346" max="14346" width="9.5703125" style="24" customWidth="1"/>
    <col min="14347" max="14347" width="10.42578125" style="24" customWidth="1"/>
    <col min="14348" max="14348" width="9.140625" style="24"/>
    <col min="14349" max="14349" width="10.42578125" style="24" bestFit="1" customWidth="1"/>
    <col min="14350" max="14589" width="9.140625" style="24"/>
    <col min="14590" max="14590" width="4.28515625" style="24" customWidth="1"/>
    <col min="14591" max="14591" width="8.85546875" style="24" customWidth="1"/>
    <col min="14592" max="14592" width="60.5703125" style="24" customWidth="1"/>
    <col min="14593" max="14593" width="5.85546875" style="24" customWidth="1"/>
    <col min="14594" max="14594" width="12.140625" style="24" customWidth="1"/>
    <col min="14595" max="14595" width="11.5703125" style="24" customWidth="1"/>
    <col min="14596" max="14596" width="10.28515625" style="24" bestFit="1" customWidth="1"/>
    <col min="14597" max="14597" width="12.140625" style="24" customWidth="1"/>
    <col min="14598" max="14598" width="10.7109375" style="24" customWidth="1"/>
    <col min="14599" max="14601" width="10.28515625" style="24" customWidth="1"/>
    <col min="14602" max="14602" width="9.5703125" style="24" customWidth="1"/>
    <col min="14603" max="14603" width="10.42578125" style="24" customWidth="1"/>
    <col min="14604" max="14604" width="9.140625" style="24"/>
    <col min="14605" max="14605" width="10.42578125" style="24" bestFit="1" customWidth="1"/>
    <col min="14606" max="14845" width="9.140625" style="24"/>
    <col min="14846" max="14846" width="4.28515625" style="24" customWidth="1"/>
    <col min="14847" max="14847" width="8.85546875" style="24" customWidth="1"/>
    <col min="14848" max="14848" width="60.5703125" style="24" customWidth="1"/>
    <col min="14849" max="14849" width="5.85546875" style="24" customWidth="1"/>
    <col min="14850" max="14850" width="12.140625" style="24" customWidth="1"/>
    <col min="14851" max="14851" width="11.5703125" style="24" customWidth="1"/>
    <col min="14852" max="14852" width="10.28515625" style="24" bestFit="1" customWidth="1"/>
    <col min="14853" max="14853" width="12.140625" style="24" customWidth="1"/>
    <col min="14854" max="14854" width="10.7109375" style="24" customWidth="1"/>
    <col min="14855" max="14857" width="10.28515625" style="24" customWidth="1"/>
    <col min="14858" max="14858" width="9.5703125" style="24" customWidth="1"/>
    <col min="14859" max="14859" width="10.42578125" style="24" customWidth="1"/>
    <col min="14860" max="14860" width="9.140625" style="24"/>
    <col min="14861" max="14861" width="10.42578125" style="24" bestFit="1" customWidth="1"/>
    <col min="14862" max="15101" width="9.140625" style="24"/>
    <col min="15102" max="15102" width="4.28515625" style="24" customWidth="1"/>
    <col min="15103" max="15103" width="8.85546875" style="24" customWidth="1"/>
    <col min="15104" max="15104" width="60.5703125" style="24" customWidth="1"/>
    <col min="15105" max="15105" width="5.85546875" style="24" customWidth="1"/>
    <col min="15106" max="15106" width="12.140625" style="24" customWidth="1"/>
    <col min="15107" max="15107" width="11.5703125" style="24" customWidth="1"/>
    <col min="15108" max="15108" width="10.28515625" style="24" bestFit="1" customWidth="1"/>
    <col min="15109" max="15109" width="12.140625" style="24" customWidth="1"/>
    <col min="15110" max="15110" width="10.7109375" style="24" customWidth="1"/>
    <col min="15111" max="15113" width="10.28515625" style="24" customWidth="1"/>
    <col min="15114" max="15114" width="9.5703125" style="24" customWidth="1"/>
    <col min="15115" max="15115" width="10.42578125" style="24" customWidth="1"/>
    <col min="15116" max="15116" width="9.140625" style="24"/>
    <col min="15117" max="15117" width="10.42578125" style="24" bestFit="1" customWidth="1"/>
    <col min="15118" max="15357" width="9.140625" style="24"/>
    <col min="15358" max="15358" width="4.28515625" style="24" customWidth="1"/>
    <col min="15359" max="15359" width="8.85546875" style="24" customWidth="1"/>
    <col min="15360" max="15360" width="60.5703125" style="24" customWidth="1"/>
    <col min="15361" max="15361" width="5.85546875" style="24" customWidth="1"/>
    <col min="15362" max="15362" width="12.140625" style="24" customWidth="1"/>
    <col min="15363" max="15363" width="11.5703125" style="24" customWidth="1"/>
    <col min="15364" max="15364" width="10.28515625" style="24" bestFit="1" customWidth="1"/>
    <col min="15365" max="15365" width="12.140625" style="24" customWidth="1"/>
    <col min="15366" max="15366" width="10.7109375" style="24" customWidth="1"/>
    <col min="15367" max="15369" width="10.28515625" style="24" customWidth="1"/>
    <col min="15370" max="15370" width="9.5703125" style="24" customWidth="1"/>
    <col min="15371" max="15371" width="10.42578125" style="24" customWidth="1"/>
    <col min="15372" max="15372" width="9.140625" style="24"/>
    <col min="15373" max="15373" width="10.42578125" style="24" bestFit="1" customWidth="1"/>
    <col min="15374" max="15613" width="9.140625" style="24"/>
    <col min="15614" max="15614" width="4.28515625" style="24" customWidth="1"/>
    <col min="15615" max="15615" width="8.85546875" style="24" customWidth="1"/>
    <col min="15616" max="15616" width="60.5703125" style="24" customWidth="1"/>
    <col min="15617" max="15617" width="5.85546875" style="24" customWidth="1"/>
    <col min="15618" max="15618" width="12.140625" style="24" customWidth="1"/>
    <col min="15619" max="15619" width="11.5703125" style="24" customWidth="1"/>
    <col min="15620" max="15620" width="10.28515625" style="24" bestFit="1" customWidth="1"/>
    <col min="15621" max="15621" width="12.140625" style="24" customWidth="1"/>
    <col min="15622" max="15622" width="10.7109375" style="24" customWidth="1"/>
    <col min="15623" max="15625" width="10.28515625" style="24" customWidth="1"/>
    <col min="15626" max="15626" width="9.5703125" style="24" customWidth="1"/>
    <col min="15627" max="15627" width="10.42578125" style="24" customWidth="1"/>
    <col min="15628" max="15628" width="9.140625" style="24"/>
    <col min="15629" max="15629" width="10.42578125" style="24" bestFit="1" customWidth="1"/>
    <col min="15630" max="15869" width="9.140625" style="24"/>
    <col min="15870" max="15870" width="4.28515625" style="24" customWidth="1"/>
    <col min="15871" max="15871" width="8.85546875" style="24" customWidth="1"/>
    <col min="15872" max="15872" width="60.5703125" style="24" customWidth="1"/>
    <col min="15873" max="15873" width="5.85546875" style="24" customWidth="1"/>
    <col min="15874" max="15874" width="12.140625" style="24" customWidth="1"/>
    <col min="15875" max="15875" width="11.5703125" style="24" customWidth="1"/>
    <col min="15876" max="15876" width="10.28515625" style="24" bestFit="1" customWidth="1"/>
    <col min="15877" max="15877" width="12.140625" style="24" customWidth="1"/>
    <col min="15878" max="15878" width="10.7109375" style="24" customWidth="1"/>
    <col min="15879" max="15881" width="10.28515625" style="24" customWidth="1"/>
    <col min="15882" max="15882" width="9.5703125" style="24" customWidth="1"/>
    <col min="15883" max="15883" width="10.42578125" style="24" customWidth="1"/>
    <col min="15884" max="15884" width="9.140625" style="24"/>
    <col min="15885" max="15885" width="10.42578125" style="24" bestFit="1" customWidth="1"/>
    <col min="15886" max="16125" width="9.140625" style="24"/>
    <col min="16126" max="16126" width="4.28515625" style="24" customWidth="1"/>
    <col min="16127" max="16127" width="8.85546875" style="24" customWidth="1"/>
    <col min="16128" max="16128" width="60.5703125" style="24" customWidth="1"/>
    <col min="16129" max="16129" width="5.85546875" style="24" customWidth="1"/>
    <col min="16130" max="16130" width="12.140625" style="24" customWidth="1"/>
    <col min="16131" max="16131" width="11.5703125" style="24" customWidth="1"/>
    <col min="16132" max="16132" width="10.28515625" style="24" bestFit="1" customWidth="1"/>
    <col min="16133" max="16133" width="12.140625" style="24" customWidth="1"/>
    <col min="16134" max="16134" width="10.7109375" style="24" customWidth="1"/>
    <col min="16135" max="16137" width="10.28515625" style="24" customWidth="1"/>
    <col min="16138" max="16138" width="9.5703125" style="24" customWidth="1"/>
    <col min="16139" max="16139" width="10.42578125" style="24" customWidth="1"/>
    <col min="16140" max="16140" width="9.140625" style="24"/>
    <col min="16141" max="16141" width="10.42578125" style="24" bestFit="1" customWidth="1"/>
    <col min="16142" max="16384" width="9.140625" style="24"/>
  </cols>
  <sheetData>
    <row r="1" spans="1:12">
      <c r="K1" s="143"/>
      <c r="L1" s="144" t="s">
        <v>190</v>
      </c>
    </row>
    <row r="2" spans="1:12">
      <c r="K2" s="143"/>
      <c r="L2" s="145" t="s">
        <v>203</v>
      </c>
    </row>
    <row r="3" spans="1:12">
      <c r="K3" s="143"/>
      <c r="L3" s="144" t="s">
        <v>204</v>
      </c>
    </row>
    <row r="4" spans="1:12">
      <c r="K4" s="143"/>
      <c r="L4" s="144" t="s">
        <v>205</v>
      </c>
    </row>
    <row r="5" spans="1:12">
      <c r="K5" s="143"/>
      <c r="L5" s="146" t="s">
        <v>191</v>
      </c>
    </row>
    <row r="7" spans="1:12" ht="12" customHeight="1">
      <c r="A7" s="157" t="s">
        <v>169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</row>
    <row r="9" spans="1:12" ht="25.9" customHeight="1">
      <c r="A9" s="158" t="s">
        <v>0</v>
      </c>
      <c r="B9" s="158" t="s">
        <v>102</v>
      </c>
      <c r="C9" s="160" t="s">
        <v>103</v>
      </c>
      <c r="D9" s="160"/>
      <c r="E9" s="162" t="s">
        <v>104</v>
      </c>
      <c r="F9" s="162" t="s">
        <v>105</v>
      </c>
      <c r="G9" s="162" t="s">
        <v>106</v>
      </c>
      <c r="H9" s="162" t="s">
        <v>107</v>
      </c>
      <c r="I9" s="153" t="s">
        <v>166</v>
      </c>
      <c r="J9" s="153" t="s">
        <v>165</v>
      </c>
      <c r="K9" s="153" t="s">
        <v>168</v>
      </c>
      <c r="L9" s="153" t="s">
        <v>167</v>
      </c>
    </row>
    <row r="10" spans="1:12" ht="42" customHeight="1">
      <c r="A10" s="159"/>
      <c r="B10" s="159"/>
      <c r="C10" s="161"/>
      <c r="D10" s="161"/>
      <c r="E10" s="163"/>
      <c r="F10" s="163"/>
      <c r="G10" s="163"/>
      <c r="H10" s="163"/>
      <c r="I10" s="154"/>
      <c r="J10" s="154"/>
      <c r="K10" s="154"/>
      <c r="L10" s="154"/>
    </row>
    <row r="11" spans="1:12">
      <c r="A11" s="57">
        <v>1</v>
      </c>
      <c r="B11" s="57">
        <v>2</v>
      </c>
      <c r="C11" s="58">
        <v>3</v>
      </c>
      <c r="D11" s="58">
        <v>4</v>
      </c>
      <c r="E11" s="58">
        <v>5</v>
      </c>
      <c r="F11" s="58">
        <v>6</v>
      </c>
      <c r="G11" s="58">
        <v>7</v>
      </c>
      <c r="H11" s="58">
        <v>8</v>
      </c>
      <c r="I11" s="151">
        <v>9</v>
      </c>
      <c r="J11" s="152"/>
      <c r="K11" s="155">
        <v>10</v>
      </c>
      <c r="L11" s="156"/>
    </row>
    <row r="12" spans="1:12" ht="24.75" customHeight="1">
      <c r="A12" s="59">
        <v>1</v>
      </c>
      <c r="B12" s="60">
        <v>11111</v>
      </c>
      <c r="C12" s="61" t="s">
        <v>108</v>
      </c>
      <c r="D12" s="62">
        <v>90</v>
      </c>
      <c r="E12" s="63">
        <f>484634.77118+3880.7556</f>
        <v>488515.52677999996</v>
      </c>
      <c r="F12" s="63">
        <v>545088.6</v>
      </c>
      <c r="G12" s="63">
        <v>590708</v>
      </c>
      <c r="H12" s="63">
        <f>619839.13107+4592.63765</f>
        <v>624431.76872000005</v>
      </c>
      <c r="I12" s="64">
        <v>562429</v>
      </c>
      <c r="J12" s="64">
        <f>604829+8000</f>
        <v>612829</v>
      </c>
      <c r="K12" s="64">
        <f>662829+10000+10000</f>
        <v>682829</v>
      </c>
      <c r="L12" s="64">
        <f>K12-J12</f>
        <v>70000</v>
      </c>
    </row>
    <row r="13" spans="1:12">
      <c r="A13" s="59">
        <v>2</v>
      </c>
      <c r="B13" s="59">
        <v>11122100</v>
      </c>
      <c r="C13" s="65" t="s">
        <v>109</v>
      </c>
      <c r="D13" s="62">
        <v>100</v>
      </c>
      <c r="E13" s="63">
        <v>13.548</v>
      </c>
      <c r="F13" s="63"/>
      <c r="G13" s="63"/>
      <c r="H13" s="63">
        <v>-1.04</v>
      </c>
      <c r="I13" s="64"/>
      <c r="J13" s="64"/>
      <c r="K13" s="64"/>
      <c r="L13" s="64"/>
    </row>
    <row r="14" spans="1:12">
      <c r="A14" s="59">
        <v>3</v>
      </c>
      <c r="B14" s="59">
        <v>11122200</v>
      </c>
      <c r="C14" s="65" t="s">
        <v>110</v>
      </c>
      <c r="D14" s="62">
        <v>100</v>
      </c>
      <c r="E14" s="63">
        <v>0</v>
      </c>
      <c r="F14" s="63"/>
      <c r="G14" s="63"/>
      <c r="H14" s="63"/>
      <c r="I14" s="64"/>
      <c r="J14" s="64"/>
      <c r="K14" s="64"/>
      <c r="L14" s="64"/>
    </row>
    <row r="15" spans="1:12">
      <c r="A15" s="59">
        <v>4</v>
      </c>
      <c r="B15" s="59">
        <v>11122300</v>
      </c>
      <c r="C15" s="65" t="s">
        <v>111</v>
      </c>
      <c r="D15" s="62">
        <v>100</v>
      </c>
      <c r="E15" s="63">
        <v>56591.808539999998</v>
      </c>
      <c r="F15" s="63">
        <v>76414.600000000006</v>
      </c>
      <c r="G15" s="63">
        <v>76414.600000000006</v>
      </c>
      <c r="H15" s="63">
        <v>28711.7781</v>
      </c>
      <c r="I15" s="64">
        <v>49500</v>
      </c>
      <c r="J15" s="64">
        <v>49500</v>
      </c>
      <c r="K15" s="64">
        <v>49500</v>
      </c>
      <c r="L15" s="64">
        <f>K15-J15</f>
        <v>0</v>
      </c>
    </row>
    <row r="16" spans="1:12" ht="25.5">
      <c r="A16" s="59">
        <v>5</v>
      </c>
      <c r="B16" s="59">
        <v>11125100</v>
      </c>
      <c r="C16" s="67" t="s">
        <v>112</v>
      </c>
      <c r="D16" s="62"/>
      <c r="E16" s="63">
        <v>0</v>
      </c>
      <c r="F16" s="63"/>
      <c r="G16" s="63"/>
      <c r="H16" s="63">
        <v>1.7103299999999999</v>
      </c>
      <c r="I16" s="64"/>
      <c r="J16" s="64"/>
      <c r="K16" s="64"/>
      <c r="L16" s="66"/>
    </row>
    <row r="17" spans="1:13">
      <c r="A17" s="59">
        <v>6</v>
      </c>
      <c r="B17" s="60">
        <v>11462</v>
      </c>
      <c r="C17" s="65" t="s">
        <v>113</v>
      </c>
      <c r="D17" s="62">
        <v>50</v>
      </c>
      <c r="E17" s="63">
        <f>21.5+34.36865+1940.475</f>
        <v>1996.3436499999998</v>
      </c>
      <c r="F17" s="63">
        <v>2200</v>
      </c>
      <c r="G17" s="63">
        <v>2200</v>
      </c>
      <c r="H17" s="63">
        <f>136.1755+0.40869+58.3655-21.5+39.05895+2319.63241</f>
        <v>2532.1410500000002</v>
      </c>
      <c r="I17" s="68">
        <v>3330.4</v>
      </c>
      <c r="J17" s="63">
        <v>3330.4</v>
      </c>
      <c r="K17" s="63">
        <v>3330.4</v>
      </c>
      <c r="L17" s="64">
        <f>K17-J17</f>
        <v>0</v>
      </c>
    </row>
    <row r="18" spans="1:13" ht="12.75" customHeight="1">
      <c r="A18" s="59"/>
      <c r="B18" s="69"/>
      <c r="C18" s="70" t="s">
        <v>114</v>
      </c>
      <c r="D18" s="70"/>
      <c r="E18" s="71">
        <f t="shared" ref="E18:L18" si="0">SUM(E12:E17)</f>
        <v>547117.22697000008</v>
      </c>
      <c r="F18" s="71">
        <f t="shared" si="0"/>
        <v>623703.19999999995</v>
      </c>
      <c r="G18" s="71">
        <f t="shared" si="0"/>
        <v>669322.6</v>
      </c>
      <c r="H18" s="71">
        <f t="shared" si="0"/>
        <v>655676.35820000002</v>
      </c>
      <c r="I18" s="72">
        <f t="shared" si="0"/>
        <v>615259.4</v>
      </c>
      <c r="J18" s="72">
        <f t="shared" si="0"/>
        <v>665659.4</v>
      </c>
      <c r="K18" s="72">
        <f t="shared" ref="K18" si="1">SUM(K12:K17)</f>
        <v>735659.4</v>
      </c>
      <c r="L18" s="72">
        <f t="shared" si="0"/>
        <v>70000</v>
      </c>
    </row>
    <row r="19" spans="1:13">
      <c r="A19" s="59">
        <v>7</v>
      </c>
      <c r="B19" s="59">
        <v>11311100</v>
      </c>
      <c r="C19" s="65" t="s">
        <v>115</v>
      </c>
      <c r="D19" s="62">
        <v>100</v>
      </c>
      <c r="E19" s="63">
        <v>4360.6565600000004</v>
      </c>
      <c r="F19" s="63">
        <v>4501.8</v>
      </c>
      <c r="G19" s="63">
        <v>12000</v>
      </c>
      <c r="H19" s="63">
        <v>17183.594349999999</v>
      </c>
      <c r="I19" s="64">
        <v>9500</v>
      </c>
      <c r="J19" s="64">
        <f>17200+500</f>
        <v>17700</v>
      </c>
      <c r="K19" s="64">
        <f>17200+500</f>
        <v>17700</v>
      </c>
      <c r="L19" s="64">
        <f>K19-J19</f>
        <v>0</v>
      </c>
    </row>
    <row r="20" spans="1:13">
      <c r="A20" s="59">
        <v>8</v>
      </c>
      <c r="B20" s="59">
        <v>11311200</v>
      </c>
      <c r="C20" s="65" t="s">
        <v>116</v>
      </c>
      <c r="D20" s="62">
        <v>100</v>
      </c>
      <c r="E20" s="63">
        <v>34993.996229999997</v>
      </c>
      <c r="F20" s="63">
        <v>39295.800000000003</v>
      </c>
      <c r="G20" s="63">
        <v>52990</v>
      </c>
      <c r="H20" s="63">
        <v>66110.572450000007</v>
      </c>
      <c r="I20" s="64">
        <v>46300</v>
      </c>
      <c r="J20" s="64">
        <v>66000</v>
      </c>
      <c r="K20" s="64">
        <v>66000</v>
      </c>
      <c r="L20" s="64">
        <f>K20-J20</f>
        <v>0</v>
      </c>
    </row>
    <row r="21" spans="1:13">
      <c r="A21" s="59">
        <v>9</v>
      </c>
      <c r="B21" s="59">
        <v>11311300</v>
      </c>
      <c r="C21" s="65" t="s">
        <v>117</v>
      </c>
      <c r="D21" s="62">
        <v>100</v>
      </c>
      <c r="E21" s="63">
        <v>198.02488</v>
      </c>
      <c r="F21" s="63">
        <v>0</v>
      </c>
      <c r="G21" s="63"/>
      <c r="H21" s="63">
        <v>51.890639999999998</v>
      </c>
      <c r="I21" s="64"/>
      <c r="J21" s="64"/>
      <c r="K21" s="64"/>
      <c r="L21" s="64"/>
    </row>
    <row r="22" spans="1:13">
      <c r="A22" s="59">
        <v>10</v>
      </c>
      <c r="B22" s="60">
        <v>11312</v>
      </c>
      <c r="C22" s="65" t="s">
        <v>118</v>
      </c>
      <c r="D22" s="62">
        <v>100</v>
      </c>
      <c r="E22" s="63">
        <f>1713.92436+10830.81535</f>
        <v>12544.739710000002</v>
      </c>
      <c r="F22" s="63">
        <f>1787.8+14379.2</f>
        <v>16167</v>
      </c>
      <c r="G22" s="63">
        <f>1787.8+14379.2</f>
        <v>16167</v>
      </c>
      <c r="H22" s="63">
        <f>1934.90386+19556.53233</f>
        <v>21491.436189999997</v>
      </c>
      <c r="I22" s="64">
        <v>16300</v>
      </c>
      <c r="J22" s="64">
        <f>21000+4400+2000</f>
        <v>27400</v>
      </c>
      <c r="K22" s="64">
        <f>21000+4400+2000</f>
        <v>27400</v>
      </c>
      <c r="L22" s="64">
        <f t="shared" ref="L22:L27" si="2">K22-J22</f>
        <v>0</v>
      </c>
    </row>
    <row r="23" spans="1:13" ht="13.5" customHeight="1">
      <c r="A23" s="59">
        <v>11</v>
      </c>
      <c r="B23" s="59">
        <v>11321100</v>
      </c>
      <c r="C23" s="65" t="s">
        <v>119</v>
      </c>
      <c r="D23" s="62">
        <v>100</v>
      </c>
      <c r="E23" s="63">
        <v>8068.0703599999997</v>
      </c>
      <c r="F23" s="63">
        <v>10650</v>
      </c>
      <c r="G23" s="63">
        <v>13200</v>
      </c>
      <c r="H23" s="63">
        <v>11904.29384</v>
      </c>
      <c r="I23" s="64">
        <v>13250</v>
      </c>
      <c r="J23" s="64">
        <f>11900+100</f>
        <v>12000</v>
      </c>
      <c r="K23" s="64">
        <f>11900+100</f>
        <v>12000</v>
      </c>
      <c r="L23" s="64">
        <f t="shared" si="2"/>
        <v>0</v>
      </c>
    </row>
    <row r="24" spans="1:13">
      <c r="A24" s="59">
        <v>12</v>
      </c>
      <c r="B24" s="59">
        <v>11321200</v>
      </c>
      <c r="C24" s="65" t="s">
        <v>120</v>
      </c>
      <c r="D24" s="62">
        <v>100</v>
      </c>
      <c r="E24" s="63">
        <v>55.984099999999998</v>
      </c>
      <c r="F24" s="63">
        <v>0</v>
      </c>
      <c r="G24" s="63">
        <v>0</v>
      </c>
      <c r="H24" s="63">
        <v>82.077200000000005</v>
      </c>
      <c r="I24" s="64">
        <v>500</v>
      </c>
      <c r="J24" s="64">
        <v>500</v>
      </c>
      <c r="K24" s="64">
        <v>500</v>
      </c>
      <c r="L24" s="64">
        <f t="shared" si="2"/>
        <v>0</v>
      </c>
    </row>
    <row r="25" spans="1:13" ht="25.5">
      <c r="A25" s="59">
        <v>13</v>
      </c>
      <c r="B25" s="59">
        <v>11321300</v>
      </c>
      <c r="C25" s="67" t="s">
        <v>121</v>
      </c>
      <c r="D25" s="62">
        <v>100</v>
      </c>
      <c r="E25" s="63">
        <v>22250.634249999999</v>
      </c>
      <c r="F25" s="63">
        <v>29876.3</v>
      </c>
      <c r="G25" s="63">
        <v>34478.699999999997</v>
      </c>
      <c r="H25" s="63">
        <v>37493.500110000001</v>
      </c>
      <c r="I25" s="64">
        <v>31300</v>
      </c>
      <c r="J25" s="64">
        <v>37200</v>
      </c>
      <c r="K25" s="64">
        <v>37200</v>
      </c>
      <c r="L25" s="64">
        <f t="shared" si="2"/>
        <v>0</v>
      </c>
    </row>
    <row r="26" spans="1:13">
      <c r="A26" s="59">
        <v>14</v>
      </c>
      <c r="B26" s="59">
        <v>14224200</v>
      </c>
      <c r="C26" s="67" t="s">
        <v>122</v>
      </c>
      <c r="D26" s="62">
        <v>100</v>
      </c>
      <c r="E26" s="63">
        <v>1122.2946199999999</v>
      </c>
      <c r="F26" s="63">
        <v>1200</v>
      </c>
      <c r="G26" s="63">
        <v>1200</v>
      </c>
      <c r="H26" s="63">
        <v>1293.9566299999999</v>
      </c>
      <c r="I26" s="64">
        <v>1250</v>
      </c>
      <c r="J26" s="64">
        <v>1300</v>
      </c>
      <c r="K26" s="64">
        <v>1300</v>
      </c>
      <c r="L26" s="64">
        <f t="shared" si="2"/>
        <v>0</v>
      </c>
    </row>
    <row r="27" spans="1:13" ht="25.5">
      <c r="A27" s="59">
        <v>15</v>
      </c>
      <c r="B27" s="59">
        <v>14511400</v>
      </c>
      <c r="C27" s="73" t="s">
        <v>123</v>
      </c>
      <c r="D27" s="67"/>
      <c r="E27" s="63"/>
      <c r="F27" s="63"/>
      <c r="G27" s="63">
        <v>40</v>
      </c>
      <c r="H27" s="63">
        <v>84.718199999999996</v>
      </c>
      <c r="I27" s="64">
        <v>20</v>
      </c>
      <c r="J27" s="64">
        <v>70</v>
      </c>
      <c r="K27" s="64">
        <v>70</v>
      </c>
      <c r="L27" s="64">
        <f t="shared" si="2"/>
        <v>0</v>
      </c>
    </row>
    <row r="28" spans="1:13">
      <c r="A28" s="59">
        <v>16</v>
      </c>
      <c r="B28" s="65">
        <v>11611200</v>
      </c>
      <c r="C28" s="67" t="s">
        <v>124</v>
      </c>
      <c r="D28" s="67"/>
      <c r="E28" s="63">
        <v>6.0999999999999999E-2</v>
      </c>
      <c r="F28" s="63"/>
      <c r="G28" s="63"/>
      <c r="H28" s="63">
        <v>2.5999999999999999E-2</v>
      </c>
      <c r="I28" s="64"/>
      <c r="J28" s="64"/>
      <c r="K28" s="64"/>
      <c r="L28" s="64"/>
    </row>
    <row r="29" spans="1:13" ht="13.5" customHeight="1">
      <c r="A29" s="59"/>
      <c r="B29" s="69"/>
      <c r="C29" s="70" t="s">
        <v>125</v>
      </c>
      <c r="D29" s="70"/>
      <c r="E29" s="74">
        <f>SUM(E19:E28)</f>
        <v>83594.461710000003</v>
      </c>
      <c r="F29" s="74">
        <f>SUM(F19:F27)</f>
        <v>101690.90000000001</v>
      </c>
      <c r="G29" s="74">
        <f>SUM(G19:G27)</f>
        <v>130075.7</v>
      </c>
      <c r="H29" s="74">
        <f>SUM(H19:H28)</f>
        <v>155696.06561000002</v>
      </c>
      <c r="I29" s="74">
        <f t="shared" ref="I29:L29" si="3">SUM(I19:I27)</f>
        <v>118420</v>
      </c>
      <c r="J29" s="74">
        <f t="shared" si="3"/>
        <v>162170</v>
      </c>
      <c r="K29" s="74">
        <f t="shared" ref="K29" si="4">SUM(K19:K27)</f>
        <v>162170</v>
      </c>
      <c r="L29" s="74">
        <f t="shared" si="3"/>
        <v>0</v>
      </c>
    </row>
    <row r="30" spans="1:13" ht="13.5" customHeight="1">
      <c r="A30" s="59"/>
      <c r="B30" s="59"/>
      <c r="C30" s="76" t="s">
        <v>126</v>
      </c>
      <c r="D30" s="76"/>
      <c r="E30" s="71">
        <f t="shared" ref="E30:L30" si="5">E29+E18</f>
        <v>630711.68868000014</v>
      </c>
      <c r="F30" s="71">
        <f t="shared" si="5"/>
        <v>725394.1</v>
      </c>
      <c r="G30" s="71">
        <f t="shared" si="5"/>
        <v>799398.29999999993</v>
      </c>
      <c r="H30" s="71">
        <f t="shared" si="5"/>
        <v>811372.42381000007</v>
      </c>
      <c r="I30" s="72">
        <f t="shared" si="5"/>
        <v>733679.4</v>
      </c>
      <c r="J30" s="72">
        <f t="shared" si="5"/>
        <v>827829.4</v>
      </c>
      <c r="K30" s="72">
        <f t="shared" ref="K30" si="6">K29+K18</f>
        <v>897829.4</v>
      </c>
      <c r="L30" s="72">
        <f t="shared" si="5"/>
        <v>70000</v>
      </c>
      <c r="M30" s="75"/>
    </row>
    <row r="31" spans="1:13" s="79" customFormat="1">
      <c r="A31" s="59">
        <v>17</v>
      </c>
      <c r="B31" s="60">
        <v>14152100</v>
      </c>
      <c r="C31" s="69" t="s">
        <v>127</v>
      </c>
      <c r="D31" s="77">
        <v>100</v>
      </c>
      <c r="E31" s="78">
        <f>SUM(E32:E35)</f>
        <v>36293.258499999996</v>
      </c>
      <c r="F31" s="78">
        <f>SUM(F32:F35)</f>
        <v>48015.1</v>
      </c>
      <c r="G31" s="78">
        <f t="shared" ref="G31:I31" si="7">SUM(G32:G35)</f>
        <v>48015.1</v>
      </c>
      <c r="H31" s="78">
        <f t="shared" si="7"/>
        <v>48137.441399999996</v>
      </c>
      <c r="I31" s="78">
        <f t="shared" si="7"/>
        <v>48300</v>
      </c>
      <c r="J31" s="78">
        <f>SUM(J32:J35)</f>
        <v>59916.860799999995</v>
      </c>
      <c r="K31" s="78">
        <f>SUM(K32:K35)</f>
        <v>64616.860799999995</v>
      </c>
      <c r="L31" s="78">
        <f>SUM(L32:L35)</f>
        <v>4700</v>
      </c>
    </row>
    <row r="32" spans="1:13">
      <c r="A32" s="59"/>
      <c r="B32" s="59"/>
      <c r="C32" s="80" t="s">
        <v>128</v>
      </c>
      <c r="D32" s="62">
        <v>100</v>
      </c>
      <c r="E32" s="81">
        <f>1642.567+1229.429+1238.021+2261.429+2176.2+1676.934+1872.094+1636.019+1347.714+1444.85+1426.2965+1158.09</f>
        <v>19109.643499999998</v>
      </c>
      <c r="F32" s="82">
        <v>23279</v>
      </c>
      <c r="G32" s="82">
        <v>23279</v>
      </c>
      <c r="H32" s="82">
        <f>1144.873+1574.38+1719.034+1728.257+2241.12+2257.05+2365.534+2112.928+2564.602+2500+2500+2500</f>
        <v>25207.777999999998</v>
      </c>
      <c r="I32" s="81">
        <v>23500</v>
      </c>
      <c r="J32" s="81">
        <f>29400+400</f>
        <v>29800</v>
      </c>
      <c r="K32" s="121">
        <f>29400+400+2700</f>
        <v>32500</v>
      </c>
      <c r="L32" s="64">
        <f t="shared" ref="L32:L40" si="8">K32-J32</f>
        <v>2700</v>
      </c>
    </row>
    <row r="33" spans="1:12">
      <c r="A33" s="59"/>
      <c r="B33" s="59"/>
      <c r="C33" s="80" t="s">
        <v>32</v>
      </c>
      <c r="D33" s="62">
        <v>100</v>
      </c>
      <c r="E33" s="83">
        <f>704.509+818.158+635.269+729.546+760.089+692.614+811.816+712.859+724.949+688.085+697.104+869.872</f>
        <v>8844.869999999999</v>
      </c>
      <c r="F33" s="82">
        <f>7366+1435.4</f>
        <v>8801.4</v>
      </c>
      <c r="G33" s="82">
        <f>7366+1435.4</f>
        <v>8801.4</v>
      </c>
      <c r="H33" s="82">
        <f>716.745+737.891+771.011+719.676+773.59+792.188+748.9861+732.1913+1027.893+793.668+1034.663+1800+1800+1800</f>
        <v>14248.502399999999</v>
      </c>
      <c r="I33" s="81">
        <v>8806.3960000000006</v>
      </c>
      <c r="J33" s="81">
        <f>6465.516+1048.32</f>
        <v>7513.8359999999993</v>
      </c>
      <c r="K33" s="125">
        <f>6465.516+1048.32+2000</f>
        <v>9513.8359999999993</v>
      </c>
      <c r="L33" s="64">
        <f t="shared" si="8"/>
        <v>2000</v>
      </c>
    </row>
    <row r="34" spans="1:12">
      <c r="A34" s="59"/>
      <c r="B34" s="59"/>
      <c r="C34" s="80" t="s">
        <v>129</v>
      </c>
      <c r="D34" s="62">
        <v>100</v>
      </c>
      <c r="E34" s="83">
        <f>576.608+624.144+562.902+502.679+591.415+591.151+563.115+571.772+560.445+581.284+585.272+597.316</f>
        <v>6908.1029999999992</v>
      </c>
      <c r="F34" s="82">
        <v>6933.2</v>
      </c>
      <c r="G34" s="82">
        <v>6933.2</v>
      </c>
      <c r="H34" s="82">
        <f>570.864+586.804+594.144+567.484+592.124+567.849+591.089+569.593+580.55+207.746+200+500+250.799</f>
        <v>6379.0460000000003</v>
      </c>
      <c r="I34" s="81">
        <v>6958.0919999999996</v>
      </c>
      <c r="J34" s="81">
        <f>2157.96+6958.0896</f>
        <v>9116.0496000000003</v>
      </c>
      <c r="K34" s="125">
        <f>2157.96+6958.0896</f>
        <v>9116.0496000000003</v>
      </c>
      <c r="L34" s="64">
        <f t="shared" si="8"/>
        <v>0</v>
      </c>
    </row>
    <row r="35" spans="1:12">
      <c r="A35" s="59"/>
      <c r="B35" s="59"/>
      <c r="C35" s="80" t="s">
        <v>130</v>
      </c>
      <c r="D35" s="62"/>
      <c r="E35" s="81">
        <f>7.2+49.05+23.4+1.8+300.74+157.604+90.704+73.056+193.039+269.963+264.086</f>
        <v>1430.6420000000001</v>
      </c>
      <c r="F35" s="82">
        <v>9001.5</v>
      </c>
      <c r="G35" s="82">
        <v>9001.5</v>
      </c>
      <c r="H35" s="82">
        <f>430.688+250.23+233.95+105.47+160.35+152.67+237.952+218.085+364.11+48.61+100</f>
        <v>2302.1150000000002</v>
      </c>
      <c r="I35" s="81">
        <v>9035.5120000000006</v>
      </c>
      <c r="J35" s="81">
        <f>1435.356+4859.6652+7191.954</f>
        <v>13486.975200000001</v>
      </c>
      <c r="K35" s="125">
        <f>1435.356+4859.6652+7191.954</f>
        <v>13486.975200000001</v>
      </c>
      <c r="L35" s="64">
        <f t="shared" si="8"/>
        <v>0</v>
      </c>
    </row>
    <row r="36" spans="1:12" s="79" customFormat="1">
      <c r="A36" s="59">
        <v>18</v>
      </c>
      <c r="B36" s="84">
        <v>14152200</v>
      </c>
      <c r="C36" s="85" t="s">
        <v>131</v>
      </c>
      <c r="D36" s="86"/>
      <c r="E36" s="87">
        <v>0</v>
      </c>
      <c r="F36" s="87">
        <f>83.3+353.1</f>
        <v>436.40000000000003</v>
      </c>
      <c r="G36" s="87">
        <f>83.3+353.1</f>
        <v>436.40000000000003</v>
      </c>
      <c r="H36" s="87">
        <v>52.295999999999999</v>
      </c>
      <c r="I36" s="88">
        <v>436.4</v>
      </c>
      <c r="J36" s="88">
        <v>600</v>
      </c>
      <c r="K36" s="122">
        <v>600</v>
      </c>
      <c r="L36" s="64">
        <f t="shared" si="8"/>
        <v>0</v>
      </c>
    </row>
    <row r="37" spans="1:12" s="79" customFormat="1" ht="25.5">
      <c r="A37" s="59">
        <v>19</v>
      </c>
      <c r="B37" s="59">
        <v>14152600</v>
      </c>
      <c r="C37" s="67" t="s">
        <v>132</v>
      </c>
      <c r="D37" s="86">
        <v>100</v>
      </c>
      <c r="E37" s="89">
        <v>800.23599999999999</v>
      </c>
      <c r="F37" s="89">
        <v>2611.4</v>
      </c>
      <c r="G37" s="89">
        <v>2611.4</v>
      </c>
      <c r="H37" s="89">
        <v>4565.0940000000001</v>
      </c>
      <c r="I37" s="90">
        <v>2615.4</v>
      </c>
      <c r="J37" s="90">
        <f>5500+200</f>
        <v>5700</v>
      </c>
      <c r="K37" s="123">
        <f>5500+200</f>
        <v>5700</v>
      </c>
      <c r="L37" s="64">
        <f t="shared" si="8"/>
        <v>0</v>
      </c>
    </row>
    <row r="38" spans="1:12" s="79" customFormat="1" ht="25.5">
      <c r="A38" s="59">
        <v>20</v>
      </c>
      <c r="B38" s="60">
        <v>14211200</v>
      </c>
      <c r="C38" s="101" t="s">
        <v>133</v>
      </c>
      <c r="D38" s="77">
        <v>100</v>
      </c>
      <c r="E38" s="78">
        <v>7222.2759999999998</v>
      </c>
      <c r="F38" s="78">
        <v>17047</v>
      </c>
      <c r="G38" s="78">
        <f>8047+2800</f>
        <v>10847</v>
      </c>
      <c r="H38" s="78">
        <v>11098.054099999999</v>
      </c>
      <c r="I38" s="118">
        <v>9123.6</v>
      </c>
      <c r="J38" s="118">
        <f>J39+J40</f>
        <v>17326.031999999999</v>
      </c>
      <c r="K38" s="118">
        <f>K39+K40</f>
        <v>18326.031999999999</v>
      </c>
      <c r="L38" s="118">
        <f t="shared" si="8"/>
        <v>1000</v>
      </c>
    </row>
    <row r="39" spans="1:12">
      <c r="A39" s="59"/>
      <c r="B39" s="59"/>
      <c r="C39" s="91" t="s">
        <v>134</v>
      </c>
      <c r="D39" s="62"/>
      <c r="E39" s="63"/>
      <c r="F39" s="63"/>
      <c r="G39" s="63"/>
      <c r="H39" s="63"/>
      <c r="I39" s="64"/>
      <c r="J39" s="64">
        <v>0</v>
      </c>
      <c r="K39" s="64">
        <v>0</v>
      </c>
      <c r="L39" s="64">
        <f t="shared" si="8"/>
        <v>0</v>
      </c>
    </row>
    <row r="40" spans="1:12">
      <c r="A40" s="59"/>
      <c r="B40" s="59"/>
      <c r="C40" s="91" t="s">
        <v>32</v>
      </c>
      <c r="D40" s="92"/>
      <c r="E40" s="93"/>
      <c r="F40" s="93"/>
      <c r="G40" s="93"/>
      <c r="H40" s="93"/>
      <c r="I40" s="94"/>
      <c r="J40" s="94">
        <f>6918.84+4362.6+1076.592+600+360+1008+3000</f>
        <v>17326.031999999999</v>
      </c>
      <c r="K40" s="126">
        <f>6918.84+4362.6+1076.592+600+360+1008+3000+1000</f>
        <v>18326.031999999999</v>
      </c>
      <c r="L40" s="64">
        <f t="shared" si="8"/>
        <v>1000</v>
      </c>
    </row>
    <row r="41" spans="1:12" s="79" customFormat="1">
      <c r="A41" s="59">
        <v>21</v>
      </c>
      <c r="B41" s="59">
        <v>14211900</v>
      </c>
      <c r="C41" s="67" t="s">
        <v>135</v>
      </c>
      <c r="D41" s="86"/>
      <c r="E41" s="89"/>
      <c r="F41" s="89"/>
      <c r="G41" s="89"/>
      <c r="H41" s="89">
        <v>162.65799999999999</v>
      </c>
      <c r="I41" s="90"/>
      <c r="J41" s="90"/>
      <c r="K41" s="90"/>
      <c r="L41" s="90"/>
    </row>
    <row r="42" spans="1:12" s="79" customFormat="1">
      <c r="A42" s="59">
        <v>22</v>
      </c>
      <c r="B42" s="60">
        <v>14224300</v>
      </c>
      <c r="C42" s="69" t="s">
        <v>136</v>
      </c>
      <c r="D42" s="77">
        <v>100</v>
      </c>
      <c r="E42" s="78">
        <v>13195.200919999999</v>
      </c>
      <c r="F42" s="78">
        <v>14310</v>
      </c>
      <c r="G42" s="78">
        <v>14310</v>
      </c>
      <c r="H42" s="78">
        <v>13943.658799999999</v>
      </c>
      <c r="I42" s="118">
        <v>14310</v>
      </c>
      <c r="J42" s="118">
        <f>J43+J44</f>
        <v>16144</v>
      </c>
      <c r="K42" s="118">
        <f>K43+K44</f>
        <v>17144</v>
      </c>
      <c r="L42" s="118">
        <f>K42-J42</f>
        <v>1000</v>
      </c>
    </row>
    <row r="43" spans="1:12">
      <c r="A43" s="59"/>
      <c r="B43" s="59"/>
      <c r="C43" s="91" t="s">
        <v>134</v>
      </c>
      <c r="D43" s="92"/>
      <c r="E43" s="93"/>
      <c r="F43" s="93"/>
      <c r="G43" s="93"/>
      <c r="H43" s="93"/>
      <c r="I43" s="94"/>
      <c r="J43" s="94">
        <f>4500+400</f>
        <v>4900</v>
      </c>
      <c r="K43" s="124">
        <f>4500+400</f>
        <v>4900</v>
      </c>
      <c r="L43" s="64">
        <f>K43-J43</f>
        <v>0</v>
      </c>
    </row>
    <row r="44" spans="1:12">
      <c r="A44" s="59"/>
      <c r="B44" s="59"/>
      <c r="C44" s="91" t="s">
        <v>32</v>
      </c>
      <c r="D44" s="92"/>
      <c r="E44" s="93"/>
      <c r="F44" s="93"/>
      <c r="G44" s="93"/>
      <c r="H44" s="93"/>
      <c r="I44" s="94"/>
      <c r="J44" s="94">
        <f>240+11004</f>
        <v>11244</v>
      </c>
      <c r="K44" s="126">
        <f>240+11004+1000</f>
        <v>12244</v>
      </c>
      <c r="L44" s="64">
        <f>K44-J44</f>
        <v>1000</v>
      </c>
    </row>
    <row r="45" spans="1:12" s="79" customFormat="1" ht="25.5">
      <c r="A45" s="59">
        <v>23</v>
      </c>
      <c r="B45" s="65">
        <v>14221900</v>
      </c>
      <c r="C45" s="91" t="s">
        <v>137</v>
      </c>
      <c r="D45" s="92">
        <v>100</v>
      </c>
      <c r="E45" s="93">
        <v>965.85</v>
      </c>
      <c r="F45" s="93">
        <v>6250.2</v>
      </c>
      <c r="G45" s="93">
        <v>13634.1</v>
      </c>
      <c r="H45" s="93">
        <v>12458.386</v>
      </c>
      <c r="I45" s="94">
        <v>14138.9</v>
      </c>
      <c r="J45" s="94">
        <f>2241.121+3000+9000+2000</f>
        <v>16241.120999999999</v>
      </c>
      <c r="K45" s="126">
        <f>2241.121+3000+9000+2000</f>
        <v>16241.120999999999</v>
      </c>
      <c r="L45" s="64">
        <f>K45-J45</f>
        <v>0</v>
      </c>
    </row>
    <row r="46" spans="1:12" ht="38.25">
      <c r="A46" s="59">
        <v>24</v>
      </c>
      <c r="B46" s="65">
        <v>14224410</v>
      </c>
      <c r="C46" s="67" t="s">
        <v>138</v>
      </c>
      <c r="D46" s="67">
        <v>100</v>
      </c>
      <c r="E46" s="63">
        <v>1850</v>
      </c>
      <c r="F46" s="63">
        <v>1041</v>
      </c>
      <c r="G46" s="63">
        <v>1041</v>
      </c>
      <c r="H46" s="63">
        <v>2480</v>
      </c>
      <c r="I46" s="64">
        <v>1850</v>
      </c>
      <c r="J46" s="64">
        <v>1850</v>
      </c>
      <c r="K46" s="64">
        <v>1850</v>
      </c>
      <c r="L46" s="64">
        <f>K46-J46</f>
        <v>0</v>
      </c>
    </row>
    <row r="47" spans="1:12">
      <c r="A47" s="59">
        <v>25</v>
      </c>
      <c r="B47" s="65">
        <v>14151200</v>
      </c>
      <c r="C47" s="95" t="s">
        <v>139</v>
      </c>
      <c r="D47" s="62"/>
      <c r="E47" s="63"/>
      <c r="F47" s="63">
        <v>95</v>
      </c>
      <c r="G47" s="63">
        <v>95</v>
      </c>
      <c r="H47" s="63">
        <v>346.01499999999999</v>
      </c>
      <c r="I47" s="64"/>
      <c r="J47" s="64"/>
      <c r="K47" s="64"/>
      <c r="L47" s="64"/>
    </row>
    <row r="48" spans="1:12">
      <c r="A48" s="59">
        <v>26</v>
      </c>
      <c r="B48" s="84">
        <v>14311400</v>
      </c>
      <c r="C48" s="95" t="s">
        <v>140</v>
      </c>
      <c r="D48" s="67"/>
      <c r="E48" s="63">
        <v>55.5</v>
      </c>
      <c r="F48" s="63"/>
      <c r="G48" s="63"/>
      <c r="H48" s="63"/>
      <c r="I48" s="64"/>
    </row>
    <row r="49" spans="1:12">
      <c r="A49" s="59">
        <v>27</v>
      </c>
      <c r="B49" s="84">
        <v>14311500</v>
      </c>
      <c r="C49" s="95" t="s">
        <v>141</v>
      </c>
      <c r="D49" s="67"/>
      <c r="E49" s="63"/>
      <c r="F49" s="63"/>
      <c r="G49" s="63"/>
      <c r="H49" s="63"/>
      <c r="I49" s="64"/>
      <c r="J49" s="64"/>
      <c r="K49" s="64"/>
      <c r="L49" s="64"/>
    </row>
    <row r="50" spans="1:12">
      <c r="A50" s="59">
        <v>28</v>
      </c>
      <c r="B50" s="84">
        <v>14511100</v>
      </c>
      <c r="C50" s="95" t="s">
        <v>142</v>
      </c>
      <c r="D50" s="67"/>
      <c r="E50" s="63">
        <v>2621.2420000000002</v>
      </c>
      <c r="F50" s="63"/>
      <c r="G50" s="63"/>
      <c r="H50" s="63">
        <v>1540.1107999999999</v>
      </c>
      <c r="I50" s="64"/>
      <c r="J50" s="64"/>
      <c r="K50" s="64"/>
      <c r="L50" s="64"/>
    </row>
    <row r="51" spans="1:12">
      <c r="A51" s="59">
        <v>29</v>
      </c>
      <c r="B51" s="96">
        <v>14311410</v>
      </c>
      <c r="C51" s="97" t="s">
        <v>140</v>
      </c>
      <c r="D51" s="67"/>
      <c r="E51" s="63">
        <v>0</v>
      </c>
      <c r="F51" s="63"/>
      <c r="G51" s="63"/>
      <c r="H51" s="63">
        <v>36</v>
      </c>
      <c r="I51" s="64"/>
      <c r="J51" s="64"/>
      <c r="K51" s="64"/>
      <c r="L51" s="64"/>
    </row>
    <row r="52" spans="1:12">
      <c r="A52" s="59">
        <v>30</v>
      </c>
      <c r="B52" s="98">
        <v>31121100</v>
      </c>
      <c r="C52" s="99" t="s">
        <v>143</v>
      </c>
      <c r="D52" s="67"/>
      <c r="E52" s="63"/>
      <c r="F52" s="63"/>
      <c r="G52" s="63"/>
      <c r="H52" s="63"/>
      <c r="I52" s="64"/>
      <c r="J52" s="64"/>
      <c r="K52" s="64"/>
      <c r="L52" s="64"/>
    </row>
    <row r="53" spans="1:12">
      <c r="A53" s="59">
        <v>31</v>
      </c>
      <c r="B53" s="98">
        <v>31112120</v>
      </c>
      <c r="C53" s="99" t="s">
        <v>144</v>
      </c>
      <c r="D53" s="100"/>
      <c r="E53" s="63">
        <v>0</v>
      </c>
      <c r="F53" s="63"/>
      <c r="G53" s="63"/>
      <c r="H53" s="63"/>
      <c r="I53" s="64"/>
      <c r="J53" s="64">
        <v>1570</v>
      </c>
      <c r="K53" s="127">
        <v>1570</v>
      </c>
      <c r="L53" s="64"/>
    </row>
    <row r="54" spans="1:12">
      <c r="A54" s="59">
        <v>32</v>
      </c>
      <c r="B54" s="59">
        <v>31112190</v>
      </c>
      <c r="C54" s="99" t="s">
        <v>145</v>
      </c>
      <c r="D54" s="100"/>
      <c r="E54" s="63"/>
      <c r="F54" s="63"/>
      <c r="G54" s="63">
        <f>1616.1+6392.4</f>
        <v>8008.5</v>
      </c>
      <c r="H54" s="63">
        <v>1780.951</v>
      </c>
      <c r="I54" s="64"/>
      <c r="J54" s="64"/>
      <c r="K54" s="64"/>
      <c r="L54" s="64"/>
    </row>
    <row r="55" spans="1:12">
      <c r="A55" s="59">
        <v>33</v>
      </c>
      <c r="B55" s="84">
        <v>31121130</v>
      </c>
      <c r="C55" s="97" t="s">
        <v>146</v>
      </c>
      <c r="D55" s="67"/>
      <c r="E55" s="63">
        <v>0</v>
      </c>
      <c r="F55" s="63"/>
      <c r="G55" s="63"/>
      <c r="H55" s="63"/>
      <c r="I55" s="64"/>
      <c r="J55" s="64"/>
      <c r="K55" s="64"/>
      <c r="L55" s="64"/>
    </row>
    <row r="56" spans="1:12">
      <c r="A56" s="59">
        <v>34</v>
      </c>
      <c r="B56" s="84">
        <v>31121190</v>
      </c>
      <c r="C56" s="95" t="s">
        <v>147</v>
      </c>
      <c r="D56" s="67"/>
      <c r="E56" s="63"/>
      <c r="F56" s="63"/>
      <c r="G56" s="63"/>
      <c r="H56" s="63"/>
      <c r="I56" s="64"/>
      <c r="J56" s="64"/>
      <c r="K56" s="64"/>
      <c r="L56" s="64"/>
    </row>
    <row r="57" spans="1:12" ht="25.5">
      <c r="A57" s="59"/>
      <c r="B57" s="59"/>
      <c r="C57" s="101" t="s">
        <v>148</v>
      </c>
      <c r="D57" s="101"/>
      <c r="E57" s="102">
        <f t="shared" ref="E57:I57" si="9">SUM(E31:E56)-E31</f>
        <v>63003.56342000002</v>
      </c>
      <c r="F57" s="102">
        <f t="shared" si="9"/>
        <v>89806.099999999977</v>
      </c>
      <c r="G57" s="102">
        <f t="shared" si="9"/>
        <v>98998.499999999971</v>
      </c>
      <c r="H57" s="102">
        <f t="shared" si="9"/>
        <v>96600.665100000027</v>
      </c>
      <c r="I57" s="102">
        <f t="shared" si="9"/>
        <v>90774.300000000017</v>
      </c>
      <c r="J57" s="102">
        <f>SUM(J31:J56)-J31-J42-J38</f>
        <v>119348.01379999999</v>
      </c>
      <c r="K57" s="102">
        <f>SUM(K31:K56)-K31-K42-K38</f>
        <v>126048.01379999999</v>
      </c>
      <c r="L57" s="102">
        <f>SUM(L31:L56)-L31-L42-L38</f>
        <v>6700</v>
      </c>
    </row>
    <row r="58" spans="1:12">
      <c r="A58" s="59"/>
      <c r="B58" s="59"/>
      <c r="C58" s="103" t="s">
        <v>149</v>
      </c>
      <c r="D58" s="103"/>
      <c r="E58" s="104">
        <f t="shared" ref="E58:L58" si="10">E57+E30</f>
        <v>693715.25210000016</v>
      </c>
      <c r="F58" s="104">
        <f t="shared" si="10"/>
        <v>815200.2</v>
      </c>
      <c r="G58" s="104">
        <f t="shared" si="10"/>
        <v>898396.79999999993</v>
      </c>
      <c r="H58" s="104">
        <f t="shared" si="10"/>
        <v>907973.08891000005</v>
      </c>
      <c r="I58" s="105">
        <f t="shared" si="10"/>
        <v>824453.70000000007</v>
      </c>
      <c r="J58" s="105">
        <f>J57+J30</f>
        <v>947177.41379999998</v>
      </c>
      <c r="K58" s="105">
        <f>K57+K30</f>
        <v>1023877.4138</v>
      </c>
      <c r="L58" s="105">
        <f t="shared" si="10"/>
        <v>76700</v>
      </c>
    </row>
    <row r="59" spans="1:12" ht="13.5">
      <c r="A59" s="59"/>
      <c r="B59" s="59"/>
      <c r="C59" s="106" t="s">
        <v>150</v>
      </c>
      <c r="D59" s="106"/>
      <c r="E59" s="107"/>
      <c r="F59" s="107"/>
      <c r="G59" s="107"/>
      <c r="H59" s="107"/>
      <c r="I59" s="108"/>
      <c r="J59" s="108"/>
      <c r="K59" s="108"/>
      <c r="L59" s="108"/>
    </row>
    <row r="60" spans="1:12" ht="22.5" customHeight="1">
      <c r="A60" s="59">
        <v>35</v>
      </c>
      <c r="B60" s="59">
        <v>14232400</v>
      </c>
      <c r="C60" s="67" t="s">
        <v>151</v>
      </c>
      <c r="D60" s="67"/>
      <c r="E60" s="107">
        <v>52230.764999999999</v>
      </c>
      <c r="F60" s="107">
        <v>65258</v>
      </c>
      <c r="G60" s="109">
        <f>65258+10000</f>
        <v>75258</v>
      </c>
      <c r="H60" s="107">
        <v>76362.425000000003</v>
      </c>
      <c r="I60" s="108">
        <v>73149.5</v>
      </c>
      <c r="J60" s="108">
        <f>132321.9+0.1</f>
        <v>132322</v>
      </c>
      <c r="K60" s="108">
        <f>132321.9+0.1</f>
        <v>132322</v>
      </c>
      <c r="L60" s="64">
        <f>K60-J60</f>
        <v>0</v>
      </c>
    </row>
    <row r="61" spans="1:12" ht="22.5" customHeight="1">
      <c r="A61" s="59">
        <v>36</v>
      </c>
      <c r="B61" s="59">
        <v>14232900</v>
      </c>
      <c r="C61" s="67" t="s">
        <v>152</v>
      </c>
      <c r="D61" s="67"/>
      <c r="E61" s="107">
        <v>1547.4069999999999</v>
      </c>
      <c r="F61" s="107">
        <v>2000</v>
      </c>
      <c r="G61" s="107">
        <v>2000</v>
      </c>
      <c r="H61" s="107">
        <v>1993.136</v>
      </c>
      <c r="I61" s="110">
        <v>2000</v>
      </c>
      <c r="J61" s="108">
        <v>2000</v>
      </c>
      <c r="K61" s="108">
        <v>2000</v>
      </c>
      <c r="L61" s="64">
        <f>K61-J61</f>
        <v>0</v>
      </c>
    </row>
    <row r="62" spans="1:12" ht="28.5" customHeight="1">
      <c r="A62" s="59">
        <v>37</v>
      </c>
      <c r="B62" s="59">
        <v>14236900</v>
      </c>
      <c r="C62" s="67" t="s">
        <v>153</v>
      </c>
      <c r="D62" s="67"/>
      <c r="E62" s="107"/>
      <c r="F62" s="107"/>
      <c r="G62" s="107"/>
      <c r="H62" s="107">
        <v>0</v>
      </c>
      <c r="I62" s="110"/>
      <c r="J62" s="108"/>
      <c r="K62" s="108"/>
      <c r="L62" s="108"/>
    </row>
    <row r="63" spans="1:12" ht="15.75" customHeight="1">
      <c r="A63" s="59">
        <v>38</v>
      </c>
      <c r="B63" s="59">
        <v>14238900</v>
      </c>
      <c r="C63" s="67" t="s">
        <v>154</v>
      </c>
      <c r="D63" s="67"/>
      <c r="E63" s="107">
        <v>71483.906000000003</v>
      </c>
      <c r="F63" s="107">
        <v>166989.20000000001</v>
      </c>
      <c r="G63" s="107">
        <f>166989.2-5052.5</f>
        <v>161936.70000000001</v>
      </c>
      <c r="H63" s="107">
        <v>100485.13400000001</v>
      </c>
      <c r="I63" s="110">
        <v>168767.1</v>
      </c>
      <c r="J63" s="108">
        <f>1580.9+347.2+100+90+(80146.1)+70+15288.4+30100</f>
        <v>127722.6</v>
      </c>
      <c r="K63" s="108">
        <f>1580.9+347.2+100+90+(80146.1)+70+15288.4+30100+7214.7+27.3</f>
        <v>134964.6</v>
      </c>
      <c r="L63" s="64">
        <f>K63-J63</f>
        <v>7242</v>
      </c>
    </row>
    <row r="64" spans="1:12">
      <c r="A64" s="59">
        <v>39</v>
      </c>
      <c r="B64" s="59">
        <v>14411100</v>
      </c>
      <c r="C64" s="65" t="s">
        <v>155</v>
      </c>
      <c r="D64" s="65"/>
      <c r="E64" s="107">
        <v>455</v>
      </c>
      <c r="F64" s="107">
        <v>200</v>
      </c>
      <c r="G64" s="107">
        <v>700</v>
      </c>
      <c r="H64" s="107">
        <v>1085.95</v>
      </c>
      <c r="I64" s="110">
        <v>100</v>
      </c>
      <c r="J64" s="108">
        <f>100+100+100</f>
        <v>300</v>
      </c>
      <c r="K64" s="108">
        <f>100+100+100</f>
        <v>300</v>
      </c>
      <c r="L64" s="64">
        <f>K64-J64</f>
        <v>0</v>
      </c>
    </row>
    <row r="65" spans="1:12">
      <c r="A65" s="59">
        <v>40</v>
      </c>
      <c r="B65" s="59">
        <v>14412100</v>
      </c>
      <c r="C65" s="65" t="s">
        <v>156</v>
      </c>
      <c r="D65" s="65"/>
      <c r="E65" s="107"/>
      <c r="F65" s="107"/>
      <c r="G65" s="107"/>
      <c r="H65" s="107">
        <v>900000</v>
      </c>
      <c r="I65" s="110"/>
      <c r="J65" s="108"/>
      <c r="K65" s="108">
        <v>12000</v>
      </c>
      <c r="L65" s="64">
        <f>K65-J65</f>
        <v>12000</v>
      </c>
    </row>
    <row r="66" spans="1:12">
      <c r="A66" s="59"/>
      <c r="B66" s="66"/>
      <c r="C66" s="69" t="s">
        <v>157</v>
      </c>
      <c r="D66" s="69"/>
      <c r="E66" s="102">
        <f t="shared" ref="E66:I66" si="11">SUM(E60:E64)</f>
        <v>125717.07800000001</v>
      </c>
      <c r="F66" s="102">
        <f t="shared" si="11"/>
        <v>234447.2</v>
      </c>
      <c r="G66" s="102">
        <f t="shared" si="11"/>
        <v>239894.7</v>
      </c>
      <c r="H66" s="102">
        <f>SUM(H60:H64)</f>
        <v>179926.64500000002</v>
      </c>
      <c r="I66" s="102">
        <f t="shared" si="11"/>
        <v>244016.6</v>
      </c>
      <c r="J66" s="102">
        <f>SUM(J60:J64)</f>
        <v>262344.59999999998</v>
      </c>
      <c r="K66" s="102">
        <f>SUM(K60:K65)</f>
        <v>281586.59999999998</v>
      </c>
      <c r="L66" s="102">
        <f>SUM(L60:L65)</f>
        <v>19242</v>
      </c>
    </row>
    <row r="67" spans="1:12">
      <c r="A67" s="59">
        <v>41</v>
      </c>
      <c r="B67" s="66">
        <v>13321200</v>
      </c>
      <c r="C67" s="111" t="s">
        <v>158</v>
      </c>
      <c r="D67" s="112"/>
      <c r="E67" s="113">
        <v>1669224.6</v>
      </c>
      <c r="F67" s="66"/>
      <c r="H67" s="113">
        <v>1056720.2290000001</v>
      </c>
      <c r="I67" s="113"/>
      <c r="J67" s="113"/>
      <c r="K67" s="113"/>
      <c r="L67" s="113"/>
    </row>
    <row r="68" spans="1:12">
      <c r="A68" s="59">
        <v>42</v>
      </c>
      <c r="B68" s="66">
        <v>13321100</v>
      </c>
      <c r="C68" s="111" t="s">
        <v>159</v>
      </c>
      <c r="D68" s="112"/>
      <c r="E68" s="113"/>
      <c r="F68" s="113">
        <v>2201.8000000000002</v>
      </c>
      <c r="G68" s="113">
        <v>2201.8000000000002</v>
      </c>
      <c r="H68" s="113">
        <v>2201.83</v>
      </c>
      <c r="I68" s="113"/>
      <c r="J68" s="113"/>
      <c r="K68" s="113"/>
      <c r="L68" s="113"/>
    </row>
    <row r="69" spans="1:12" ht="15">
      <c r="A69" s="59">
        <v>43</v>
      </c>
      <c r="B69" s="66">
        <v>13321300</v>
      </c>
      <c r="C69" s="114" t="s">
        <v>160</v>
      </c>
      <c r="D69" s="112"/>
      <c r="E69" s="113"/>
      <c r="F69" s="113"/>
      <c r="G69" s="113"/>
      <c r="H69" s="113">
        <v>18833.25604</v>
      </c>
      <c r="I69" s="113"/>
      <c r="J69" s="113"/>
      <c r="K69" s="113"/>
      <c r="L69" s="113"/>
    </row>
    <row r="70" spans="1:12">
      <c r="A70" s="59"/>
      <c r="B70" s="66"/>
      <c r="C70" s="115" t="s">
        <v>161</v>
      </c>
      <c r="D70" s="115"/>
      <c r="E70" s="102">
        <f>E66+E58+E67+E68+E69</f>
        <v>2488656.9301000005</v>
      </c>
      <c r="F70" s="102">
        <f>F66+F58+F67+F68+F69</f>
        <v>1051849.2</v>
      </c>
      <c r="G70" s="102">
        <f>G66+G58+G67+G68+G69</f>
        <v>1140493.3</v>
      </c>
      <c r="H70" s="102">
        <f>H66+H58+H67+H68+H69+H65</f>
        <v>3065655.0489500002</v>
      </c>
      <c r="I70" s="102">
        <f t="shared" ref="I70:L70" si="12">I66+I58</f>
        <v>1068470.3</v>
      </c>
      <c r="J70" s="102">
        <f>J66+J58</f>
        <v>1209522.0137999998</v>
      </c>
      <c r="K70" s="102">
        <f>K66+K58</f>
        <v>1305464.0137999998</v>
      </c>
      <c r="L70" s="102">
        <f t="shared" si="12"/>
        <v>95942</v>
      </c>
    </row>
    <row r="71" spans="1:12">
      <c r="K71" s="75"/>
      <c r="L71" s="75"/>
    </row>
    <row r="73" spans="1:12" ht="15.75">
      <c r="B73" s="116"/>
      <c r="C73" s="117"/>
      <c r="E73" s="75"/>
      <c r="F73" s="75"/>
      <c r="G73" s="75"/>
      <c r="H73" s="75"/>
    </row>
    <row r="74" spans="1:12" ht="15.75">
      <c r="C74" s="149" t="s">
        <v>208</v>
      </c>
      <c r="D74" s="149"/>
      <c r="E74" s="150"/>
      <c r="F74" s="150"/>
      <c r="G74" s="150"/>
      <c r="H74" s="150" t="s">
        <v>209</v>
      </c>
      <c r="J74" s="75"/>
    </row>
    <row r="75" spans="1:12">
      <c r="E75" s="75"/>
    </row>
    <row r="76" spans="1:12">
      <c r="J76" s="75"/>
    </row>
    <row r="80" spans="1:12">
      <c r="K80" s="75"/>
    </row>
    <row r="81" spans="11:11">
      <c r="K81" s="75"/>
    </row>
  </sheetData>
  <mergeCells count="15">
    <mergeCell ref="A7:L7"/>
    <mergeCell ref="A9:A10"/>
    <mergeCell ref="B9:B10"/>
    <mergeCell ref="C9:C10"/>
    <mergeCell ref="D9:D10"/>
    <mergeCell ref="E9:E10"/>
    <mergeCell ref="F9:F10"/>
    <mergeCell ref="G9:G10"/>
    <mergeCell ref="H9:H10"/>
    <mergeCell ref="I11:J11"/>
    <mergeCell ref="I9:I10"/>
    <mergeCell ref="J9:J10"/>
    <mergeCell ref="K9:K10"/>
    <mergeCell ref="L9:L10"/>
    <mergeCell ref="K11:L11"/>
  </mergeCells>
  <pageMargins left="0.70866141732283472" right="0.70866141732283472" top="0.35433070866141736" bottom="0.35433070866141736" header="0.31496062992125984" footer="0.31496062992125984"/>
  <pageSetup paperSize="9" scale="78" fitToHeight="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view="pageBreakPreview" zoomScale="70" zoomScaleNormal="100" zoomScaleSheetLayoutView="70" workbookViewId="0">
      <selection activeCell="E24" sqref="E24"/>
    </sheetView>
  </sheetViews>
  <sheetFormatPr defaultColWidth="9.140625" defaultRowHeight="12.75"/>
  <cols>
    <col min="1" max="1" width="4" style="50" bestFit="1" customWidth="1"/>
    <col min="2" max="2" width="29.5703125" style="50" customWidth="1"/>
    <col min="3" max="3" width="9.85546875" style="50" customWidth="1"/>
    <col min="4" max="4" width="14.140625" style="50" customWidth="1"/>
    <col min="5" max="5" width="13" style="50" customWidth="1"/>
    <col min="6" max="6" width="46.28515625" style="50" customWidth="1"/>
    <col min="7" max="7" width="10.5703125" style="50" bestFit="1" customWidth="1"/>
    <col min="8" max="8" width="9.140625" style="50"/>
    <col min="9" max="9" width="9.140625" style="1"/>
    <col min="10" max="16384" width="9.140625" style="50"/>
  </cols>
  <sheetData>
    <row r="1" spans="1:9">
      <c r="F1" s="144" t="s">
        <v>190</v>
      </c>
    </row>
    <row r="2" spans="1:9">
      <c r="F2" s="145" t="s">
        <v>203</v>
      </c>
    </row>
    <row r="3" spans="1:9">
      <c r="F3" s="144" t="s">
        <v>204</v>
      </c>
    </row>
    <row r="4" spans="1:9">
      <c r="F4" s="144" t="s">
        <v>205</v>
      </c>
    </row>
    <row r="5" spans="1:9">
      <c r="F5" s="146" t="s">
        <v>206</v>
      </c>
    </row>
    <row r="6" spans="1:9">
      <c r="F6" s="148"/>
    </row>
    <row r="7" spans="1:9" ht="27" customHeight="1">
      <c r="A7" s="190" t="s">
        <v>54</v>
      </c>
      <c r="B7" s="191"/>
      <c r="C7" s="191"/>
      <c r="D7" s="191"/>
      <c r="E7" s="191"/>
      <c r="F7" s="191"/>
    </row>
    <row r="8" spans="1:9" ht="54" customHeight="1">
      <c r="A8" s="3" t="s">
        <v>0</v>
      </c>
      <c r="B8" s="3" t="s">
        <v>1</v>
      </c>
      <c r="C8" s="3" t="s">
        <v>2</v>
      </c>
      <c r="D8" s="4" t="s">
        <v>3</v>
      </c>
      <c r="E8" s="4" t="s">
        <v>55</v>
      </c>
      <c r="F8" s="3" t="s">
        <v>4</v>
      </c>
    </row>
    <row r="9" spans="1:9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</row>
    <row r="10" spans="1:9" ht="13.9" customHeight="1">
      <c r="A10" s="176">
        <v>1</v>
      </c>
      <c r="B10" s="176" t="s">
        <v>5</v>
      </c>
      <c r="C10" s="6">
        <v>2214</v>
      </c>
      <c r="D10" s="38">
        <v>25.5</v>
      </c>
      <c r="E10" s="40"/>
      <c r="F10" s="168" t="s">
        <v>6</v>
      </c>
    </row>
    <row r="11" spans="1:9">
      <c r="A11" s="177"/>
      <c r="B11" s="177"/>
      <c r="C11" s="6">
        <v>2215</v>
      </c>
      <c r="D11" s="38">
        <v>15.4</v>
      </c>
      <c r="E11" s="40"/>
      <c r="F11" s="189"/>
    </row>
    <row r="12" spans="1:9">
      <c r="A12" s="178"/>
      <c r="B12" s="178"/>
      <c r="C12" s="6">
        <v>2222</v>
      </c>
      <c r="D12" s="38">
        <v>45.9</v>
      </c>
      <c r="E12" s="40"/>
      <c r="F12" s="169"/>
    </row>
    <row r="13" spans="1:9" ht="13.9" customHeight="1">
      <c r="A13" s="176">
        <v>2</v>
      </c>
      <c r="B13" s="176" t="s">
        <v>7</v>
      </c>
      <c r="C13" s="6">
        <v>2214</v>
      </c>
      <c r="D13" s="38">
        <v>11.4</v>
      </c>
      <c r="E13" s="40"/>
      <c r="F13" s="179" t="s">
        <v>6</v>
      </c>
      <c r="G13" s="51"/>
      <c r="H13" s="51"/>
      <c r="I13" s="9"/>
    </row>
    <row r="14" spans="1:9">
      <c r="A14" s="177"/>
      <c r="B14" s="177"/>
      <c r="C14" s="6">
        <v>2215</v>
      </c>
      <c r="D14" s="38">
        <v>2.5</v>
      </c>
      <c r="E14" s="40"/>
      <c r="F14" s="180"/>
      <c r="G14" s="51"/>
      <c r="H14" s="51"/>
      <c r="I14" s="9"/>
    </row>
    <row r="15" spans="1:9">
      <c r="A15" s="178"/>
      <c r="B15" s="178"/>
      <c r="C15" s="6">
        <v>2222</v>
      </c>
      <c r="D15" s="38">
        <v>10.9</v>
      </c>
      <c r="E15" s="40"/>
      <c r="F15" s="181"/>
      <c r="G15" s="51"/>
      <c r="H15" s="51"/>
      <c r="I15" s="9"/>
    </row>
    <row r="16" spans="1:9" s="52" customFormat="1" ht="25.5">
      <c r="A16" s="6">
        <v>3</v>
      </c>
      <c r="B16" s="6" t="s">
        <v>8</v>
      </c>
      <c r="C16" s="6">
        <v>2214</v>
      </c>
      <c r="D16" s="38">
        <v>9</v>
      </c>
      <c r="E16" s="40"/>
      <c r="F16" s="8" t="s">
        <v>6</v>
      </c>
      <c r="I16" s="10"/>
    </row>
    <row r="17" spans="1:9" s="52" customFormat="1" ht="13.9" customHeight="1">
      <c r="A17" s="176">
        <v>4</v>
      </c>
      <c r="B17" s="176" t="s">
        <v>19</v>
      </c>
      <c r="C17" s="6">
        <v>2214</v>
      </c>
      <c r="D17" s="38">
        <v>2.6</v>
      </c>
      <c r="E17" s="40"/>
      <c r="F17" s="168" t="s">
        <v>6</v>
      </c>
      <c r="I17" s="10"/>
    </row>
    <row r="18" spans="1:9" s="52" customFormat="1">
      <c r="A18" s="178"/>
      <c r="B18" s="178"/>
      <c r="C18" s="6">
        <v>2215</v>
      </c>
      <c r="D18" s="38">
        <v>5.7</v>
      </c>
      <c r="E18" s="40"/>
      <c r="F18" s="169"/>
      <c r="I18" s="10"/>
    </row>
    <row r="19" spans="1:9" s="52" customFormat="1" ht="25.5">
      <c r="A19" s="176">
        <v>5</v>
      </c>
      <c r="B19" s="171" t="s">
        <v>9</v>
      </c>
      <c r="C19" s="6">
        <v>3111</v>
      </c>
      <c r="D19" s="44">
        <v>11806.5</v>
      </c>
      <c r="E19" s="40"/>
      <c r="F19" s="45" t="s">
        <v>70</v>
      </c>
      <c r="I19" s="10"/>
    </row>
    <row r="20" spans="1:9" s="52" customFormat="1">
      <c r="A20" s="177"/>
      <c r="B20" s="172"/>
      <c r="C20" s="6">
        <v>3111</v>
      </c>
      <c r="D20" s="44">
        <v>8200</v>
      </c>
      <c r="E20" s="40"/>
      <c r="F20" s="45" t="s">
        <v>71</v>
      </c>
      <c r="I20" s="10"/>
    </row>
    <row r="21" spans="1:9" s="52" customFormat="1">
      <c r="A21" s="177"/>
      <c r="B21" s="172"/>
      <c r="C21" s="6">
        <v>3111</v>
      </c>
      <c r="D21" s="44">
        <v>4950</v>
      </c>
      <c r="E21" s="40"/>
      <c r="F21" s="45" t="s">
        <v>192</v>
      </c>
      <c r="I21" s="10"/>
    </row>
    <row r="22" spans="1:9" ht="25.5">
      <c r="A22" s="178"/>
      <c r="B22" s="182"/>
      <c r="C22" s="6">
        <v>3111</v>
      </c>
      <c r="D22" s="38">
        <f>3610.3+320.8+307.4+7.8+28.1+529.8+443.3+765.3+36.5+80.8</f>
        <v>6130.1000000000013</v>
      </c>
      <c r="E22" s="40"/>
      <c r="F22" s="37" t="s">
        <v>6</v>
      </c>
    </row>
    <row r="23" spans="1:9" ht="13.9" customHeight="1">
      <c r="A23" s="171">
        <v>6</v>
      </c>
      <c r="B23" s="171" t="s">
        <v>23</v>
      </c>
      <c r="C23" s="6">
        <v>2214</v>
      </c>
      <c r="D23" s="38">
        <v>635</v>
      </c>
      <c r="E23" s="40"/>
      <c r="F23" s="170" t="s">
        <v>6</v>
      </c>
      <c r="G23" s="51"/>
      <c r="H23" s="53"/>
      <c r="I23" s="11"/>
    </row>
    <row r="24" spans="1:9">
      <c r="A24" s="172"/>
      <c r="B24" s="172"/>
      <c r="C24" s="6">
        <v>2215</v>
      </c>
      <c r="D24" s="38">
        <v>262</v>
      </c>
      <c r="E24" s="40"/>
      <c r="F24" s="170"/>
      <c r="G24" s="51"/>
      <c r="H24" s="53"/>
      <c r="I24" s="11"/>
    </row>
    <row r="25" spans="1:9">
      <c r="A25" s="172"/>
      <c r="B25" s="172"/>
      <c r="C25" s="6">
        <v>2222</v>
      </c>
      <c r="D25" s="38">
        <v>266</v>
      </c>
      <c r="E25" s="40"/>
      <c r="F25" s="170"/>
      <c r="G25" s="51"/>
      <c r="H25" s="53"/>
      <c r="I25" s="11"/>
    </row>
    <row r="26" spans="1:9">
      <c r="A26" s="172"/>
      <c r="B26" s="172"/>
      <c r="C26" s="6">
        <v>2224</v>
      </c>
      <c r="D26" s="38">
        <v>82</v>
      </c>
      <c r="E26" s="40"/>
      <c r="F26" s="170"/>
      <c r="G26" s="51"/>
      <c r="H26" s="53"/>
      <c r="I26" s="11"/>
    </row>
    <row r="27" spans="1:9">
      <c r="A27" s="172"/>
      <c r="B27" s="172"/>
      <c r="C27" s="6">
        <v>3111</v>
      </c>
      <c r="D27" s="38">
        <v>9</v>
      </c>
      <c r="E27" s="40"/>
      <c r="F27" s="170"/>
      <c r="G27" s="51"/>
      <c r="H27" s="53"/>
      <c r="I27" s="11"/>
    </row>
    <row r="28" spans="1:9">
      <c r="A28" s="172"/>
      <c r="B28" s="172"/>
      <c r="C28" s="6">
        <v>3122</v>
      </c>
      <c r="D28" s="38">
        <v>1454</v>
      </c>
      <c r="E28" s="40"/>
      <c r="F28" s="170"/>
      <c r="G28" s="51"/>
      <c r="H28" s="53"/>
      <c r="I28" s="11"/>
    </row>
    <row r="29" spans="1:9" ht="25.5">
      <c r="A29" s="182"/>
      <c r="B29" s="182"/>
      <c r="C29" s="6">
        <v>2222</v>
      </c>
      <c r="D29" s="38">
        <v>2000</v>
      </c>
      <c r="E29" s="40"/>
      <c r="F29" s="8" t="s">
        <v>87</v>
      </c>
      <c r="G29" s="51"/>
      <c r="H29" s="53"/>
      <c r="I29" s="11"/>
    </row>
    <row r="30" spans="1:9" ht="25.5">
      <c r="A30" s="171">
        <v>7</v>
      </c>
      <c r="B30" s="171" t="s">
        <v>32</v>
      </c>
      <c r="C30" s="6">
        <v>2215</v>
      </c>
      <c r="D30" s="38">
        <v>2246.5</v>
      </c>
      <c r="E30" s="40"/>
      <c r="F30" s="35" t="s">
        <v>33</v>
      </c>
      <c r="G30" s="51"/>
      <c r="H30" s="53"/>
      <c r="I30" s="11"/>
    </row>
    <row r="31" spans="1:9" ht="25.5">
      <c r="A31" s="182"/>
      <c r="B31" s="182"/>
      <c r="C31" s="6">
        <v>3112</v>
      </c>
      <c r="D31" s="38">
        <v>5.0999999999999996</v>
      </c>
      <c r="E31" s="40"/>
      <c r="F31" s="37" t="s">
        <v>6</v>
      </c>
      <c r="G31" s="51"/>
      <c r="H31" s="53"/>
      <c r="I31" s="11"/>
    </row>
    <row r="32" spans="1:9" ht="13.9" customHeight="1">
      <c r="A32" s="176">
        <v>8</v>
      </c>
      <c r="B32" s="171" t="s">
        <v>28</v>
      </c>
      <c r="C32" s="6">
        <v>2214</v>
      </c>
      <c r="D32" s="38">
        <f>3.3+3.1</f>
        <v>6.4</v>
      </c>
      <c r="E32" s="40"/>
      <c r="F32" s="179" t="s">
        <v>6</v>
      </c>
    </row>
    <row r="33" spans="1:9">
      <c r="A33" s="177"/>
      <c r="B33" s="172"/>
      <c r="C33" s="6">
        <v>2215</v>
      </c>
      <c r="D33" s="38">
        <f>23.1+4+20+113.4</f>
        <v>160.5</v>
      </c>
      <c r="E33" s="40"/>
      <c r="F33" s="180"/>
    </row>
    <row r="34" spans="1:9">
      <c r="A34" s="178"/>
      <c r="B34" s="182"/>
      <c r="C34" s="6">
        <v>2222</v>
      </c>
      <c r="D34" s="38">
        <v>43</v>
      </c>
      <c r="E34" s="40"/>
      <c r="F34" s="181"/>
    </row>
    <row r="35" spans="1:9" ht="28.9" customHeight="1">
      <c r="A35" s="6">
        <v>9</v>
      </c>
      <c r="B35" s="12" t="s">
        <v>27</v>
      </c>
      <c r="C35" s="6">
        <v>2511</v>
      </c>
      <c r="D35" s="38">
        <v>237.5</v>
      </c>
      <c r="E35" s="40"/>
      <c r="F35" s="37" t="s">
        <v>6</v>
      </c>
      <c r="G35" s="13"/>
      <c r="H35" s="51"/>
      <c r="I35" s="9"/>
    </row>
    <row r="36" spans="1:9" ht="13.9" customHeight="1">
      <c r="A36" s="176">
        <v>10</v>
      </c>
      <c r="B36" s="176" t="s">
        <v>11</v>
      </c>
      <c r="C36" s="6">
        <v>2214</v>
      </c>
      <c r="D36" s="38">
        <v>32.5</v>
      </c>
      <c r="E36" s="40"/>
      <c r="F36" s="179" t="s">
        <v>6</v>
      </c>
      <c r="H36" s="51"/>
      <c r="I36" s="9"/>
    </row>
    <row r="37" spans="1:9">
      <c r="A37" s="177"/>
      <c r="B37" s="177"/>
      <c r="C37" s="6">
        <v>2215</v>
      </c>
      <c r="D37" s="38">
        <v>13</v>
      </c>
      <c r="E37" s="40"/>
      <c r="F37" s="180"/>
      <c r="H37" s="51"/>
      <c r="I37" s="9"/>
    </row>
    <row r="38" spans="1:9">
      <c r="A38" s="177"/>
      <c r="B38" s="177"/>
      <c r="C38" s="6">
        <v>2222</v>
      </c>
      <c r="D38" s="38">
        <v>162.9</v>
      </c>
      <c r="E38" s="40"/>
      <c r="F38" s="180"/>
      <c r="H38" s="51"/>
      <c r="I38" s="9"/>
    </row>
    <row r="39" spans="1:9" ht="13.9" customHeight="1">
      <c r="A39" s="176">
        <v>11</v>
      </c>
      <c r="B39" s="176" t="s">
        <v>13</v>
      </c>
      <c r="C39" s="6">
        <v>2214</v>
      </c>
      <c r="D39" s="38">
        <v>117.2</v>
      </c>
      <c r="E39" s="40"/>
      <c r="F39" s="168" t="s">
        <v>6</v>
      </c>
      <c r="H39" s="51"/>
      <c r="I39" s="9"/>
    </row>
    <row r="40" spans="1:9">
      <c r="A40" s="177"/>
      <c r="B40" s="177"/>
      <c r="C40" s="6">
        <v>2215</v>
      </c>
      <c r="D40" s="38">
        <v>227.1</v>
      </c>
      <c r="E40" s="40"/>
      <c r="F40" s="189"/>
      <c r="H40" s="51"/>
      <c r="I40" s="9"/>
    </row>
    <row r="41" spans="1:9">
      <c r="A41" s="177"/>
      <c r="B41" s="177"/>
      <c r="C41" s="6">
        <v>2222</v>
      </c>
      <c r="D41" s="38">
        <v>99.1</v>
      </c>
      <c r="E41" s="40"/>
      <c r="F41" s="189"/>
      <c r="H41" s="51"/>
      <c r="I41" s="9"/>
    </row>
    <row r="42" spans="1:9">
      <c r="A42" s="177"/>
      <c r="B42" s="177"/>
      <c r="C42" s="6">
        <v>3113</v>
      </c>
      <c r="D42" s="38">
        <v>517.5</v>
      </c>
      <c r="E42" s="40"/>
      <c r="F42" s="169"/>
      <c r="H42" s="51"/>
      <c r="I42" s="9"/>
    </row>
    <row r="43" spans="1:9">
      <c r="A43" s="178"/>
      <c r="B43" s="178"/>
      <c r="C43" s="6">
        <v>2222</v>
      </c>
      <c r="D43" s="38">
        <v>66.3</v>
      </c>
      <c r="E43" s="40"/>
      <c r="F43" s="16" t="s">
        <v>81</v>
      </c>
      <c r="H43" s="51"/>
      <c r="I43" s="9"/>
    </row>
    <row r="44" spans="1:9" ht="13.9" customHeight="1">
      <c r="A44" s="176">
        <v>12</v>
      </c>
      <c r="B44" s="176" t="s">
        <v>12</v>
      </c>
      <c r="C44" s="6">
        <v>2214</v>
      </c>
      <c r="D44" s="38">
        <v>119.6</v>
      </c>
      <c r="E44" s="40"/>
      <c r="F44" s="170" t="s">
        <v>6</v>
      </c>
      <c r="H44" s="51"/>
      <c r="I44" s="9"/>
    </row>
    <row r="45" spans="1:9">
      <c r="A45" s="177"/>
      <c r="B45" s="177"/>
      <c r="C45" s="6">
        <v>2215</v>
      </c>
      <c r="D45" s="38">
        <v>397.4</v>
      </c>
      <c r="E45" s="40"/>
      <c r="F45" s="170"/>
      <c r="H45" s="51"/>
      <c r="I45" s="9"/>
    </row>
    <row r="46" spans="1:9">
      <c r="A46" s="177"/>
      <c r="B46" s="177"/>
      <c r="C46" s="6">
        <v>2221</v>
      </c>
      <c r="D46" s="38">
        <v>19.5</v>
      </c>
      <c r="E46" s="40"/>
      <c r="F46" s="170"/>
      <c r="H46" s="51"/>
      <c r="I46" s="9"/>
    </row>
    <row r="47" spans="1:9">
      <c r="A47" s="177"/>
      <c r="B47" s="177"/>
      <c r="C47" s="6">
        <v>2222</v>
      </c>
      <c r="D47" s="38">
        <v>521.6</v>
      </c>
      <c r="E47" s="40"/>
      <c r="F47" s="170"/>
      <c r="H47" s="51"/>
      <c r="I47" s="9"/>
    </row>
    <row r="48" spans="1:9">
      <c r="A48" s="177"/>
      <c r="B48" s="177"/>
      <c r="C48" s="6">
        <v>3111</v>
      </c>
      <c r="D48" s="38">
        <v>1746</v>
      </c>
      <c r="E48" s="40"/>
      <c r="F48" s="170"/>
      <c r="H48" s="51"/>
      <c r="I48" s="9"/>
    </row>
    <row r="49" spans="1:9">
      <c r="A49" s="177"/>
      <c r="B49" s="177"/>
      <c r="C49" s="6">
        <v>3112</v>
      </c>
      <c r="D49" s="38">
        <v>379.4</v>
      </c>
      <c r="E49" s="40"/>
      <c r="F49" s="170"/>
      <c r="H49" s="51"/>
      <c r="I49" s="9"/>
    </row>
    <row r="50" spans="1:9">
      <c r="A50" s="178"/>
      <c r="B50" s="178"/>
      <c r="C50" s="6">
        <v>2222</v>
      </c>
      <c r="D50" s="38">
        <v>1000</v>
      </c>
      <c r="E50" s="40"/>
      <c r="F50" s="8" t="s">
        <v>176</v>
      </c>
      <c r="H50" s="51"/>
      <c r="I50" s="9"/>
    </row>
    <row r="51" spans="1:9">
      <c r="A51" s="176">
        <v>13</v>
      </c>
      <c r="B51" s="176" t="s">
        <v>38</v>
      </c>
      <c r="C51" s="6">
        <v>2215</v>
      </c>
      <c r="D51" s="38">
        <f>3.3+5.2+60</f>
        <v>68.5</v>
      </c>
      <c r="E51" s="40"/>
      <c r="F51" s="185" t="s">
        <v>6</v>
      </c>
      <c r="H51" s="51"/>
      <c r="I51" s="9"/>
    </row>
    <row r="52" spans="1:9">
      <c r="A52" s="177"/>
      <c r="B52" s="177"/>
      <c r="C52" s="6">
        <v>2223</v>
      </c>
      <c r="D52" s="38">
        <v>20</v>
      </c>
      <c r="E52" s="40"/>
      <c r="F52" s="185"/>
      <c r="H52" s="51"/>
      <c r="I52" s="9"/>
    </row>
    <row r="53" spans="1:9">
      <c r="A53" s="178"/>
      <c r="B53" s="178"/>
      <c r="C53" s="6">
        <v>3112</v>
      </c>
      <c r="D53" s="38">
        <v>5</v>
      </c>
      <c r="E53" s="40"/>
      <c r="F53" s="185"/>
      <c r="H53" s="51"/>
      <c r="I53" s="9"/>
    </row>
    <row r="54" spans="1:9" ht="25.5">
      <c r="A54" s="6">
        <v>14</v>
      </c>
      <c r="B54" s="6" t="s">
        <v>15</v>
      </c>
      <c r="C54" s="6">
        <v>3112</v>
      </c>
      <c r="D54" s="38">
        <v>8</v>
      </c>
      <c r="E54" s="40"/>
      <c r="F54" s="8" t="s">
        <v>6</v>
      </c>
      <c r="H54" s="51"/>
      <c r="I54" s="9"/>
    </row>
    <row r="55" spans="1:9">
      <c r="A55" s="176">
        <v>15</v>
      </c>
      <c r="B55" s="171" t="s">
        <v>30</v>
      </c>
      <c r="C55" s="6">
        <v>2111</v>
      </c>
      <c r="D55" s="38">
        <v>1183</v>
      </c>
      <c r="E55" s="40"/>
      <c r="F55" s="168" t="s">
        <v>31</v>
      </c>
      <c r="H55" s="51"/>
      <c r="I55" s="9"/>
    </row>
    <row r="56" spans="1:9">
      <c r="A56" s="178"/>
      <c r="B56" s="182"/>
      <c r="C56" s="6">
        <v>2121</v>
      </c>
      <c r="D56" s="38">
        <v>204.2</v>
      </c>
      <c r="E56" s="40"/>
      <c r="F56" s="169"/>
      <c r="H56" s="51"/>
      <c r="I56" s="9"/>
    </row>
    <row r="57" spans="1:9" ht="13.15" customHeight="1">
      <c r="A57" s="176">
        <v>16</v>
      </c>
      <c r="B57" s="176" t="s">
        <v>14</v>
      </c>
      <c r="C57" s="6">
        <v>2222</v>
      </c>
      <c r="D57" s="38">
        <v>12.9</v>
      </c>
      <c r="E57" s="40"/>
      <c r="F57" s="179" t="s">
        <v>6</v>
      </c>
      <c r="H57" s="51"/>
      <c r="I57" s="9"/>
    </row>
    <row r="58" spans="1:9">
      <c r="A58" s="177"/>
      <c r="B58" s="177"/>
      <c r="C58" s="6">
        <v>3111</v>
      </c>
      <c r="D58" s="38">
        <v>3</v>
      </c>
      <c r="E58" s="40"/>
      <c r="F58" s="180"/>
      <c r="H58" s="51"/>
      <c r="I58" s="9"/>
    </row>
    <row r="59" spans="1:9">
      <c r="A59" s="178"/>
      <c r="B59" s="178"/>
      <c r="C59" s="6">
        <v>3112</v>
      </c>
      <c r="D59" s="38">
        <v>1</v>
      </c>
      <c r="E59" s="40"/>
      <c r="F59" s="181"/>
    </row>
    <row r="60" spans="1:9" ht="13.9" customHeight="1">
      <c r="A60" s="171">
        <v>17</v>
      </c>
      <c r="B60" s="171" t="s">
        <v>16</v>
      </c>
      <c r="C60" s="6">
        <v>2215</v>
      </c>
      <c r="D60" s="38">
        <v>640.4</v>
      </c>
      <c r="E60" s="40"/>
      <c r="F60" s="179" t="s">
        <v>6</v>
      </c>
    </row>
    <row r="61" spans="1:9">
      <c r="A61" s="172"/>
      <c r="B61" s="172"/>
      <c r="C61" s="6">
        <v>2221</v>
      </c>
      <c r="D61" s="38">
        <v>33</v>
      </c>
      <c r="E61" s="40"/>
      <c r="F61" s="180"/>
    </row>
    <row r="62" spans="1:9">
      <c r="A62" s="182"/>
      <c r="B62" s="182"/>
      <c r="C62" s="6">
        <v>2224</v>
      </c>
      <c r="D62" s="38">
        <v>288</v>
      </c>
      <c r="E62" s="40"/>
      <c r="F62" s="181"/>
    </row>
    <row r="63" spans="1:9" ht="13.9" customHeight="1">
      <c r="A63" s="176">
        <v>18</v>
      </c>
      <c r="B63" s="176" t="s">
        <v>29</v>
      </c>
      <c r="C63" s="6">
        <v>2215</v>
      </c>
      <c r="D63" s="38">
        <v>29.1</v>
      </c>
      <c r="E63" s="40"/>
      <c r="F63" s="179" t="s">
        <v>6</v>
      </c>
    </row>
    <row r="64" spans="1:9">
      <c r="A64" s="178"/>
      <c r="B64" s="178"/>
      <c r="C64" s="6">
        <v>2222</v>
      </c>
      <c r="D64" s="38">
        <v>2.2999999999999998</v>
      </c>
      <c r="E64" s="40"/>
      <c r="F64" s="181"/>
    </row>
    <row r="65" spans="1:9">
      <c r="A65" s="171">
        <v>19</v>
      </c>
      <c r="B65" s="171" t="s">
        <v>17</v>
      </c>
      <c r="C65" s="6">
        <v>2214</v>
      </c>
      <c r="D65" s="38">
        <v>3.5</v>
      </c>
      <c r="E65" s="40"/>
      <c r="F65" s="179" t="s">
        <v>6</v>
      </c>
    </row>
    <row r="66" spans="1:9">
      <c r="A66" s="172"/>
      <c r="B66" s="172"/>
      <c r="C66" s="6">
        <v>2215</v>
      </c>
      <c r="D66" s="38">
        <v>34</v>
      </c>
      <c r="E66" s="40"/>
      <c r="F66" s="180"/>
    </row>
    <row r="67" spans="1:9">
      <c r="A67" s="172"/>
      <c r="B67" s="172"/>
      <c r="C67" s="6">
        <v>2218</v>
      </c>
      <c r="D67" s="38">
        <v>52.3</v>
      </c>
      <c r="E67" s="40"/>
      <c r="F67" s="180"/>
    </row>
    <row r="68" spans="1:9">
      <c r="A68" s="182"/>
      <c r="B68" s="182"/>
      <c r="C68" s="6">
        <v>2221</v>
      </c>
      <c r="D68" s="38">
        <v>50</v>
      </c>
      <c r="E68" s="40"/>
      <c r="F68" s="181"/>
    </row>
    <row r="69" spans="1:9" ht="26.25" thickBot="1">
      <c r="A69" s="14">
        <v>20</v>
      </c>
      <c r="B69" s="15" t="s">
        <v>20</v>
      </c>
      <c r="C69" s="14">
        <v>2218</v>
      </c>
      <c r="D69" s="140">
        <v>20.100000000000001</v>
      </c>
      <c r="E69" s="130"/>
      <c r="F69" s="131" t="s">
        <v>6</v>
      </c>
      <c r="H69" s="53"/>
    </row>
    <row r="70" spans="1:9" ht="25.5">
      <c r="A70" s="188">
        <v>1</v>
      </c>
      <c r="B70" s="187" t="s">
        <v>5</v>
      </c>
      <c r="C70" s="7">
        <v>2215</v>
      </c>
      <c r="D70" s="141"/>
      <c r="E70" s="141">
        <v>60</v>
      </c>
      <c r="F70" s="16" t="s">
        <v>36</v>
      </c>
      <c r="H70" s="53"/>
    </row>
    <row r="71" spans="1:9">
      <c r="A71" s="178"/>
      <c r="B71" s="182"/>
      <c r="C71" s="7">
        <v>2621</v>
      </c>
      <c r="D71" s="141"/>
      <c r="E71" s="141">
        <v>100</v>
      </c>
      <c r="F71" s="16" t="s">
        <v>178</v>
      </c>
      <c r="H71" s="53"/>
    </row>
    <row r="72" spans="1:9" ht="28.15" customHeight="1">
      <c r="A72" s="176">
        <v>2</v>
      </c>
      <c r="B72" s="176" t="s">
        <v>7</v>
      </c>
      <c r="C72" s="7">
        <v>2212</v>
      </c>
      <c r="D72" s="141"/>
      <c r="E72" s="141">
        <v>4.9000000000000004</v>
      </c>
      <c r="F72" s="16" t="s">
        <v>189</v>
      </c>
      <c r="H72" s="53"/>
      <c r="I72" s="50"/>
    </row>
    <row r="73" spans="1:9" ht="18" customHeight="1">
      <c r="A73" s="178"/>
      <c r="B73" s="178"/>
      <c r="C73" s="6">
        <v>2215</v>
      </c>
      <c r="D73" s="38"/>
      <c r="E73" s="38">
        <v>20</v>
      </c>
      <c r="F73" s="8" t="s">
        <v>37</v>
      </c>
      <c r="G73" s="51"/>
      <c r="H73" s="51"/>
      <c r="I73" s="50"/>
    </row>
    <row r="74" spans="1:9">
      <c r="A74" s="176">
        <v>3</v>
      </c>
      <c r="B74" s="171" t="s">
        <v>18</v>
      </c>
      <c r="C74" s="6">
        <v>2231</v>
      </c>
      <c r="D74" s="38"/>
      <c r="E74" s="38">
        <v>80</v>
      </c>
      <c r="F74" s="8" t="s">
        <v>35</v>
      </c>
      <c r="G74" s="51"/>
      <c r="H74" s="51"/>
      <c r="I74" s="50"/>
    </row>
    <row r="75" spans="1:9">
      <c r="A75" s="178"/>
      <c r="B75" s="182"/>
      <c r="C75" s="6">
        <v>3112</v>
      </c>
      <c r="D75" s="38"/>
      <c r="E75" s="38">
        <v>50</v>
      </c>
      <c r="F75" s="35" t="s">
        <v>186</v>
      </c>
      <c r="G75" s="51"/>
      <c r="H75" s="51"/>
      <c r="I75" s="9"/>
    </row>
    <row r="76" spans="1:9">
      <c r="A76" s="128">
        <v>4</v>
      </c>
      <c r="B76" s="36" t="s">
        <v>19</v>
      </c>
      <c r="C76" s="6">
        <v>2215</v>
      </c>
      <c r="D76" s="38"/>
      <c r="E76" s="38">
        <v>8.8000000000000007</v>
      </c>
      <c r="F76" s="35" t="s">
        <v>82</v>
      </c>
      <c r="G76" s="51"/>
      <c r="H76" s="51"/>
      <c r="I76" s="9"/>
    </row>
    <row r="77" spans="1:9">
      <c r="A77" s="176">
        <v>5</v>
      </c>
      <c r="B77" s="171" t="s">
        <v>9</v>
      </c>
      <c r="C77" s="6">
        <v>2215</v>
      </c>
      <c r="D77" s="38"/>
      <c r="E77" s="132">
        <v>3427.8</v>
      </c>
      <c r="F77" s="35" t="s">
        <v>101</v>
      </c>
      <c r="G77" s="51"/>
      <c r="H77" s="51"/>
      <c r="I77" s="9"/>
    </row>
    <row r="78" spans="1:9">
      <c r="A78" s="177"/>
      <c r="B78" s="172"/>
      <c r="C78" s="6">
        <v>3111</v>
      </c>
      <c r="D78" s="38"/>
      <c r="E78" s="132">
        <f>1500-1000</f>
        <v>500</v>
      </c>
      <c r="F78" s="35" t="s">
        <v>187</v>
      </c>
      <c r="G78" s="51" t="s">
        <v>194</v>
      </c>
      <c r="H78" s="51"/>
      <c r="I78" s="9"/>
    </row>
    <row r="79" spans="1:9">
      <c r="A79" s="178"/>
      <c r="B79" s="182"/>
      <c r="C79" s="6">
        <v>3111</v>
      </c>
      <c r="D79" s="38"/>
      <c r="E79" s="132">
        <f>3045.3-1.4</f>
        <v>3043.9</v>
      </c>
      <c r="F79" s="35" t="s">
        <v>187</v>
      </c>
      <c r="G79" s="51"/>
      <c r="H79" s="51"/>
      <c r="I79" s="9"/>
    </row>
    <row r="80" spans="1:9" ht="12.6" customHeight="1">
      <c r="A80" s="176">
        <v>6</v>
      </c>
      <c r="B80" s="176" t="s">
        <v>10</v>
      </c>
      <c r="C80" s="6">
        <v>2111</v>
      </c>
      <c r="D80" s="38"/>
      <c r="E80" s="38">
        <v>1725.9</v>
      </c>
      <c r="F80" s="168" t="s">
        <v>39</v>
      </c>
      <c r="G80" s="51"/>
      <c r="H80" s="51"/>
      <c r="I80" s="9"/>
    </row>
    <row r="81" spans="1:9">
      <c r="A81" s="177"/>
      <c r="B81" s="177"/>
      <c r="C81" s="6">
        <v>2121</v>
      </c>
      <c r="D81" s="38"/>
      <c r="E81" s="38">
        <v>297.7</v>
      </c>
      <c r="F81" s="169"/>
      <c r="G81" s="51"/>
      <c r="H81" s="51"/>
      <c r="I81" s="9"/>
    </row>
    <row r="82" spans="1:9">
      <c r="A82" s="177"/>
      <c r="B82" s="177"/>
      <c r="C82" s="6">
        <v>2215</v>
      </c>
      <c r="D82" s="38"/>
      <c r="E82" s="132">
        <v>2000</v>
      </c>
      <c r="F82" s="8" t="s">
        <v>24</v>
      </c>
      <c r="G82" s="51"/>
      <c r="H82" s="51"/>
      <c r="I82" s="9"/>
    </row>
    <row r="83" spans="1:9">
      <c r="A83" s="177"/>
      <c r="B83" s="177"/>
      <c r="C83" s="6">
        <v>2214</v>
      </c>
      <c r="D83" s="38"/>
      <c r="E83" s="132">
        <v>3000</v>
      </c>
      <c r="F83" s="8" t="s">
        <v>25</v>
      </c>
      <c r="G83" s="51"/>
      <c r="H83" s="51"/>
      <c r="I83" s="9"/>
    </row>
    <row r="84" spans="1:9">
      <c r="A84" s="177"/>
      <c r="B84" s="177"/>
      <c r="C84" s="6">
        <v>2224</v>
      </c>
      <c r="D84" s="38"/>
      <c r="E84" s="132">
        <v>2400</v>
      </c>
      <c r="F84" s="8" t="s">
        <v>26</v>
      </c>
      <c r="G84" s="51"/>
      <c r="H84" s="51"/>
      <c r="I84" s="9"/>
    </row>
    <row r="85" spans="1:9">
      <c r="A85" s="177"/>
      <c r="B85" s="177"/>
      <c r="C85" s="6">
        <v>2222</v>
      </c>
      <c r="D85" s="38"/>
      <c r="E85" s="132">
        <v>2000</v>
      </c>
      <c r="F85" s="8" t="s">
        <v>193</v>
      </c>
      <c r="G85" s="51" t="s">
        <v>194</v>
      </c>
      <c r="H85" s="51"/>
      <c r="I85" s="9"/>
    </row>
    <row r="86" spans="1:9">
      <c r="A86" s="178"/>
      <c r="B86" s="178"/>
      <c r="C86" s="6">
        <v>3122</v>
      </c>
      <c r="D86" s="38"/>
      <c r="E86" s="132">
        <f>22000+2000</f>
        <v>24000</v>
      </c>
      <c r="F86" s="8" t="s">
        <v>99</v>
      </c>
      <c r="G86" s="51"/>
      <c r="H86" s="51"/>
      <c r="I86" s="9"/>
    </row>
    <row r="87" spans="1:9" s="54" customFormat="1">
      <c r="A87" s="173">
        <v>7</v>
      </c>
      <c r="B87" s="173" t="s">
        <v>12</v>
      </c>
      <c r="C87" s="43">
        <v>2222</v>
      </c>
      <c r="D87" s="38"/>
      <c r="E87" s="135">
        <f>1000+116.7</f>
        <v>1116.7</v>
      </c>
      <c r="F87" s="133" t="s">
        <v>40</v>
      </c>
      <c r="I87" s="17"/>
    </row>
    <row r="88" spans="1:9" s="54" customFormat="1">
      <c r="A88" s="173"/>
      <c r="B88" s="173"/>
      <c r="C88" s="43">
        <v>2222</v>
      </c>
      <c r="D88" s="38"/>
      <c r="E88" s="147">
        <v>1000</v>
      </c>
      <c r="F88" s="133" t="s">
        <v>202</v>
      </c>
      <c r="I88" s="17"/>
    </row>
    <row r="89" spans="1:9" s="54" customFormat="1">
      <c r="A89" s="173"/>
      <c r="B89" s="173"/>
      <c r="C89" s="43">
        <v>3111</v>
      </c>
      <c r="D89" s="38"/>
      <c r="E89" s="135">
        <v>4500</v>
      </c>
      <c r="F89" s="133" t="s">
        <v>41</v>
      </c>
      <c r="I89" s="17"/>
    </row>
    <row r="90" spans="1:9" s="54" customFormat="1">
      <c r="A90" s="173"/>
      <c r="B90" s="173"/>
      <c r="C90" s="43">
        <v>2231</v>
      </c>
      <c r="D90" s="38"/>
      <c r="E90" s="135">
        <v>1000</v>
      </c>
      <c r="F90" s="134" t="s">
        <v>44</v>
      </c>
      <c r="I90" s="17"/>
    </row>
    <row r="91" spans="1:9" s="54" customFormat="1">
      <c r="A91" s="173"/>
      <c r="B91" s="173"/>
      <c r="C91" s="43">
        <v>3111</v>
      </c>
      <c r="D91" s="38"/>
      <c r="E91" s="135">
        <v>300</v>
      </c>
      <c r="F91" s="134" t="s">
        <v>42</v>
      </c>
      <c r="I91" s="17"/>
    </row>
    <row r="92" spans="1:9" s="54" customFormat="1">
      <c r="A92" s="173"/>
      <c r="B92" s="173"/>
      <c r="C92" s="43">
        <v>2222</v>
      </c>
      <c r="D92" s="38"/>
      <c r="E92" s="135">
        <v>3000</v>
      </c>
      <c r="F92" s="134" t="s">
        <v>97</v>
      </c>
      <c r="I92" s="17"/>
    </row>
    <row r="93" spans="1:9" s="54" customFormat="1">
      <c r="A93" s="173"/>
      <c r="B93" s="173"/>
      <c r="C93" s="43">
        <v>2222</v>
      </c>
      <c r="D93" s="38"/>
      <c r="E93" s="135">
        <v>1000</v>
      </c>
      <c r="F93" s="134" t="s">
        <v>173</v>
      </c>
      <c r="I93" s="17"/>
    </row>
    <row r="94" spans="1:9" s="54" customFormat="1">
      <c r="A94" s="173"/>
      <c r="B94" s="173"/>
      <c r="C94" s="43">
        <v>2222</v>
      </c>
      <c r="D94" s="38"/>
      <c r="E94" s="135">
        <v>1000</v>
      </c>
      <c r="F94" s="134" t="s">
        <v>177</v>
      </c>
      <c r="I94" s="17"/>
    </row>
    <row r="95" spans="1:9" s="54" customFormat="1">
      <c r="A95" s="173"/>
      <c r="B95" s="173"/>
      <c r="C95" s="43">
        <v>2222</v>
      </c>
      <c r="D95" s="38"/>
      <c r="E95" s="135">
        <v>1000</v>
      </c>
      <c r="F95" s="134" t="s">
        <v>174</v>
      </c>
      <c r="I95" s="17"/>
    </row>
    <row r="96" spans="1:9" s="54" customFormat="1">
      <c r="A96" s="173"/>
      <c r="B96" s="173"/>
      <c r="C96" s="43">
        <v>3112</v>
      </c>
      <c r="D96" s="38"/>
      <c r="E96" s="135">
        <v>1150</v>
      </c>
      <c r="F96" s="134" t="s">
        <v>175</v>
      </c>
      <c r="I96" s="17"/>
    </row>
    <row r="97" spans="1:9" s="54" customFormat="1">
      <c r="A97" s="173"/>
      <c r="B97" s="173"/>
      <c r="C97" s="43">
        <v>2222</v>
      </c>
      <c r="D97" s="38"/>
      <c r="E97" s="135">
        <v>200</v>
      </c>
      <c r="F97" s="134" t="s">
        <v>184</v>
      </c>
      <c r="I97" s="17"/>
    </row>
    <row r="98" spans="1:9">
      <c r="A98" s="173"/>
      <c r="B98" s="173"/>
      <c r="C98" s="7">
        <v>3112</v>
      </c>
      <c r="D98" s="141"/>
      <c r="E98" s="141">
        <v>1800</v>
      </c>
      <c r="F98" s="16" t="s">
        <v>183</v>
      </c>
      <c r="H98" s="53"/>
    </row>
    <row r="99" spans="1:9">
      <c r="A99" s="173"/>
      <c r="B99" s="173"/>
      <c r="C99" s="7">
        <v>3112</v>
      </c>
      <c r="D99" s="141"/>
      <c r="E99" s="141">
        <v>3000</v>
      </c>
      <c r="F99" s="16" t="s">
        <v>182</v>
      </c>
      <c r="H99" s="53"/>
    </row>
    <row r="100" spans="1:9" s="54" customFormat="1">
      <c r="A100" s="173"/>
      <c r="B100" s="173"/>
      <c r="C100" s="43">
        <v>2222</v>
      </c>
      <c r="D100" s="38"/>
      <c r="E100" s="135">
        <v>1450</v>
      </c>
      <c r="F100" s="134" t="s">
        <v>195</v>
      </c>
      <c r="G100" s="54" t="s">
        <v>194</v>
      </c>
      <c r="I100" s="17"/>
    </row>
    <row r="101" spans="1:9" s="54" customFormat="1">
      <c r="A101" s="173"/>
      <c r="B101" s="173"/>
      <c r="C101" s="43">
        <v>2221</v>
      </c>
      <c r="D101" s="38"/>
      <c r="E101" s="135">
        <v>1000</v>
      </c>
      <c r="F101" s="134" t="s">
        <v>43</v>
      </c>
      <c r="I101" s="17"/>
    </row>
    <row r="102" spans="1:9" s="54" customFormat="1">
      <c r="A102" s="173">
        <v>8</v>
      </c>
      <c r="B102" s="173" t="s">
        <v>28</v>
      </c>
      <c r="C102" s="56">
        <v>2823</v>
      </c>
      <c r="D102" s="38"/>
      <c r="E102" s="135">
        <v>28.7</v>
      </c>
      <c r="F102" s="134" t="s">
        <v>61</v>
      </c>
      <c r="G102" s="55"/>
      <c r="I102" s="17"/>
    </row>
    <row r="103" spans="1:9" s="54" customFormat="1" ht="28.15" customHeight="1">
      <c r="A103" s="173"/>
      <c r="B103" s="173"/>
      <c r="C103" s="56">
        <v>2215</v>
      </c>
      <c r="D103" s="38"/>
      <c r="E103" s="135">
        <f>300</f>
        <v>300</v>
      </c>
      <c r="F103" s="136" t="s">
        <v>62</v>
      </c>
      <c r="G103" s="55"/>
      <c r="I103" s="17"/>
    </row>
    <row r="104" spans="1:9" s="54" customFormat="1" ht="14.45" customHeight="1">
      <c r="A104" s="173"/>
      <c r="B104" s="173"/>
      <c r="C104" s="56">
        <v>2215</v>
      </c>
      <c r="D104" s="38"/>
      <c r="E104" s="135">
        <v>18054.099999999999</v>
      </c>
      <c r="F104" s="134" t="s">
        <v>63</v>
      </c>
      <c r="G104" s="55"/>
      <c r="I104" s="17"/>
    </row>
    <row r="105" spans="1:9" s="54" customFormat="1" ht="25.5">
      <c r="A105" s="173"/>
      <c r="B105" s="173"/>
      <c r="C105" s="56">
        <v>2215</v>
      </c>
      <c r="D105" s="38"/>
      <c r="E105" s="135">
        <v>23.7</v>
      </c>
      <c r="F105" s="137" t="s">
        <v>72</v>
      </c>
      <c r="G105" s="55"/>
      <c r="I105" s="17"/>
    </row>
    <row r="106" spans="1:9" s="54" customFormat="1">
      <c r="A106" s="173"/>
      <c r="B106" s="173"/>
      <c r="C106" s="56">
        <v>2215</v>
      </c>
      <c r="D106" s="38"/>
      <c r="E106" s="135">
        <v>4400</v>
      </c>
      <c r="F106" s="134" t="s">
        <v>73</v>
      </c>
      <c r="G106" s="55"/>
      <c r="I106" s="17"/>
    </row>
    <row r="107" spans="1:9" s="54" customFormat="1">
      <c r="A107" s="173"/>
      <c r="B107" s="173"/>
      <c r="C107" s="56">
        <v>2215</v>
      </c>
      <c r="D107" s="38"/>
      <c r="E107" s="135">
        <v>500</v>
      </c>
      <c r="F107" s="134" t="s">
        <v>162</v>
      </c>
      <c r="G107" s="55"/>
      <c r="I107" s="17"/>
    </row>
    <row r="108" spans="1:9" s="54" customFormat="1">
      <c r="A108" s="173"/>
      <c r="B108" s="173"/>
      <c r="C108" s="56">
        <v>2215</v>
      </c>
      <c r="D108" s="38"/>
      <c r="E108" s="135">
        <v>1163</v>
      </c>
      <c r="F108" s="134" t="s">
        <v>64</v>
      </c>
      <c r="G108" s="55"/>
      <c r="I108" s="17"/>
    </row>
    <row r="109" spans="1:9" s="54" customFormat="1">
      <c r="A109" s="173"/>
      <c r="B109" s="173"/>
      <c r="C109" s="56">
        <v>2215</v>
      </c>
      <c r="D109" s="38"/>
      <c r="E109" s="135">
        <v>300</v>
      </c>
      <c r="F109" s="134" t="s">
        <v>74</v>
      </c>
      <c r="G109" s="55"/>
      <c r="I109" s="17"/>
    </row>
    <row r="110" spans="1:9" s="54" customFormat="1">
      <c r="A110" s="173"/>
      <c r="B110" s="173"/>
      <c r="C110" s="56">
        <v>2215</v>
      </c>
      <c r="D110" s="38"/>
      <c r="E110" s="135">
        <f>1000+1100</f>
        <v>2100</v>
      </c>
      <c r="F110" s="134" t="s">
        <v>88</v>
      </c>
      <c r="G110" s="55"/>
      <c r="I110" s="17"/>
    </row>
    <row r="111" spans="1:9" s="54" customFormat="1">
      <c r="A111" s="173"/>
      <c r="B111" s="173"/>
      <c r="C111" s="56">
        <v>2823</v>
      </c>
      <c r="D111" s="38"/>
      <c r="E111" s="135">
        <v>122.9</v>
      </c>
      <c r="F111" s="134" t="s">
        <v>65</v>
      </c>
      <c r="G111" s="55"/>
      <c r="I111" s="17"/>
    </row>
    <row r="112" spans="1:9" s="54" customFormat="1">
      <c r="A112" s="173"/>
      <c r="B112" s="173"/>
      <c r="C112" s="56">
        <v>2823</v>
      </c>
      <c r="D112" s="38"/>
      <c r="E112" s="135">
        <v>212</v>
      </c>
      <c r="F112" s="134" t="s">
        <v>65</v>
      </c>
      <c r="G112" s="55"/>
      <c r="I112" s="17"/>
    </row>
    <row r="113" spans="1:9" s="54" customFormat="1">
      <c r="A113" s="173"/>
      <c r="B113" s="173"/>
      <c r="C113" s="56">
        <v>2823</v>
      </c>
      <c r="D113" s="38"/>
      <c r="E113" s="135">
        <v>4.5</v>
      </c>
      <c r="F113" s="134" t="s">
        <v>66</v>
      </c>
      <c r="G113" s="55"/>
      <c r="I113" s="17"/>
    </row>
    <row r="114" spans="1:9" s="54" customFormat="1">
      <c r="A114" s="173"/>
      <c r="B114" s="173"/>
      <c r="C114" s="56">
        <v>2823</v>
      </c>
      <c r="D114" s="38"/>
      <c r="E114" s="135">
        <v>81.599999999999994</v>
      </c>
      <c r="F114" s="134" t="s">
        <v>67</v>
      </c>
      <c r="G114" s="55"/>
      <c r="I114" s="17"/>
    </row>
    <row r="115" spans="1:9" s="54" customFormat="1">
      <c r="A115" s="173"/>
      <c r="B115" s="173"/>
      <c r="C115" s="56">
        <v>3141</v>
      </c>
      <c r="D115" s="38"/>
      <c r="E115" s="135">
        <v>274.8</v>
      </c>
      <c r="F115" s="134" t="s">
        <v>68</v>
      </c>
      <c r="G115" s="55"/>
      <c r="I115" s="17"/>
    </row>
    <row r="116" spans="1:9" s="54" customFormat="1">
      <c r="A116" s="173"/>
      <c r="B116" s="173"/>
      <c r="C116" s="56">
        <v>3141</v>
      </c>
      <c r="D116" s="38"/>
      <c r="E116" s="135">
        <v>8855.2000000000007</v>
      </c>
      <c r="F116" s="134" t="s">
        <v>69</v>
      </c>
      <c r="G116" s="55"/>
      <c r="I116" s="17"/>
    </row>
    <row r="117" spans="1:9" s="54" customFormat="1">
      <c r="A117" s="167">
        <v>9</v>
      </c>
      <c r="B117" s="167" t="s">
        <v>32</v>
      </c>
      <c r="C117" s="56">
        <v>2215</v>
      </c>
      <c r="D117" s="38"/>
      <c r="E117" s="142">
        <v>143</v>
      </c>
      <c r="F117" s="8" t="s">
        <v>45</v>
      </c>
      <c r="I117" s="17"/>
    </row>
    <row r="118" spans="1:9" s="54" customFormat="1">
      <c r="A118" s="167"/>
      <c r="B118" s="167"/>
      <c r="C118" s="56">
        <v>2215</v>
      </c>
      <c r="D118" s="38"/>
      <c r="E118" s="142">
        <v>400</v>
      </c>
      <c r="F118" s="8" t="s">
        <v>56</v>
      </c>
      <c r="I118" s="17"/>
    </row>
    <row r="119" spans="1:9" s="54" customFormat="1">
      <c r="A119" s="167"/>
      <c r="B119" s="167"/>
      <c r="C119" s="56">
        <v>3112</v>
      </c>
      <c r="D119" s="38"/>
      <c r="E119" s="142">
        <v>120</v>
      </c>
      <c r="F119" s="8" t="s">
        <v>57</v>
      </c>
      <c r="I119" s="17"/>
    </row>
    <row r="120" spans="1:9" s="54" customFormat="1">
      <c r="A120" s="167"/>
      <c r="B120" s="167"/>
      <c r="C120" s="56">
        <v>2215</v>
      </c>
      <c r="D120" s="38"/>
      <c r="E120" s="142">
        <v>150</v>
      </c>
      <c r="F120" s="8" t="s">
        <v>58</v>
      </c>
      <c r="I120" s="17"/>
    </row>
    <row r="121" spans="1:9" s="54" customFormat="1" ht="13.15" customHeight="1">
      <c r="A121" s="167">
        <v>10</v>
      </c>
      <c r="B121" s="167" t="s">
        <v>80</v>
      </c>
      <c r="C121" s="56">
        <v>2111</v>
      </c>
      <c r="D121" s="38"/>
      <c r="E121" s="142">
        <v>988.2</v>
      </c>
      <c r="F121" s="170" t="s">
        <v>39</v>
      </c>
      <c r="I121" s="17"/>
    </row>
    <row r="122" spans="1:9" s="54" customFormat="1">
      <c r="A122" s="167"/>
      <c r="B122" s="167"/>
      <c r="C122" s="56">
        <v>2121</v>
      </c>
      <c r="D122" s="38"/>
      <c r="E122" s="142">
        <v>170.5</v>
      </c>
      <c r="F122" s="170"/>
      <c r="I122" s="17"/>
    </row>
    <row r="123" spans="1:9" s="54" customFormat="1">
      <c r="A123" s="36">
        <v>11</v>
      </c>
      <c r="B123" s="36" t="s">
        <v>180</v>
      </c>
      <c r="C123" s="56">
        <v>2511</v>
      </c>
      <c r="D123" s="38"/>
      <c r="E123" s="142">
        <f>5000</f>
        <v>5000</v>
      </c>
      <c r="F123" s="8" t="s">
        <v>98</v>
      </c>
      <c r="I123" s="17"/>
    </row>
    <row r="124" spans="1:9" s="54" customFormat="1">
      <c r="A124" s="36">
        <v>12</v>
      </c>
      <c r="B124" s="36" t="s">
        <v>13</v>
      </c>
      <c r="C124" s="56">
        <v>3112</v>
      </c>
      <c r="D124" s="38"/>
      <c r="E124" s="142">
        <f>130*4</f>
        <v>520</v>
      </c>
      <c r="F124" s="8" t="s">
        <v>93</v>
      </c>
      <c r="I124" s="17"/>
    </row>
    <row r="125" spans="1:9" s="54" customFormat="1">
      <c r="A125" s="36">
        <v>13</v>
      </c>
      <c r="B125" s="36" t="s">
        <v>15</v>
      </c>
      <c r="C125" s="56">
        <v>2215</v>
      </c>
      <c r="D125" s="38"/>
      <c r="E125" s="142">
        <v>600</v>
      </c>
      <c r="F125" s="8" t="s">
        <v>185</v>
      </c>
      <c r="I125" s="17"/>
    </row>
    <row r="126" spans="1:9" s="54" customFormat="1">
      <c r="A126" s="171">
        <v>14</v>
      </c>
      <c r="B126" s="171" t="s">
        <v>16</v>
      </c>
      <c r="C126" s="6">
        <v>3112</v>
      </c>
      <c r="D126" s="38"/>
      <c r="E126" s="132">
        <v>500</v>
      </c>
      <c r="F126" s="8" t="s">
        <v>89</v>
      </c>
      <c r="I126" s="17"/>
    </row>
    <row r="127" spans="1:9" s="54" customFormat="1">
      <c r="A127" s="172"/>
      <c r="B127" s="172"/>
      <c r="C127" s="6">
        <v>3112</v>
      </c>
      <c r="D127" s="38"/>
      <c r="E127" s="132">
        <v>1146.2</v>
      </c>
      <c r="F127" s="168" t="s">
        <v>181</v>
      </c>
      <c r="I127" s="17"/>
    </row>
    <row r="128" spans="1:9" s="54" customFormat="1">
      <c r="A128" s="172"/>
      <c r="B128" s="172"/>
      <c r="C128" s="6">
        <v>2222</v>
      </c>
      <c r="D128" s="38"/>
      <c r="E128" s="132">
        <v>55</v>
      </c>
      <c r="F128" s="169"/>
      <c r="I128" s="17"/>
    </row>
    <row r="129" spans="1:9" s="54" customFormat="1">
      <c r="A129" s="172"/>
      <c r="B129" s="172"/>
      <c r="C129" s="6">
        <v>2212</v>
      </c>
      <c r="D129" s="38"/>
      <c r="E129" s="132">
        <f>553.4-300</f>
        <v>253.39999999999998</v>
      </c>
      <c r="F129" s="8" t="s">
        <v>49</v>
      </c>
      <c r="I129" s="17"/>
    </row>
    <row r="130" spans="1:9" s="54" customFormat="1">
      <c r="A130" s="172"/>
      <c r="B130" s="172"/>
      <c r="C130" s="6">
        <v>2222</v>
      </c>
      <c r="D130" s="38"/>
      <c r="E130" s="132">
        <v>437.6</v>
      </c>
      <c r="F130" s="8" t="s">
        <v>163</v>
      </c>
      <c r="I130" s="17"/>
    </row>
    <row r="131" spans="1:9" s="54" customFormat="1">
      <c r="A131" s="172"/>
      <c r="B131" s="172"/>
      <c r="C131" s="6">
        <v>2221</v>
      </c>
      <c r="D131" s="38"/>
      <c r="E131" s="132">
        <v>300</v>
      </c>
      <c r="F131" s="8" t="s">
        <v>90</v>
      </c>
      <c r="I131" s="17"/>
    </row>
    <row r="132" spans="1:9" s="54" customFormat="1">
      <c r="A132" s="173">
        <v>15</v>
      </c>
      <c r="B132" s="173" t="s">
        <v>17</v>
      </c>
      <c r="C132" s="6">
        <v>3112</v>
      </c>
      <c r="D132" s="38"/>
      <c r="E132" s="132">
        <v>95</v>
      </c>
      <c r="F132" s="8" t="s">
        <v>50</v>
      </c>
      <c r="I132" s="17"/>
    </row>
    <row r="133" spans="1:9" s="54" customFormat="1" ht="13.15" customHeight="1">
      <c r="A133" s="173"/>
      <c r="B133" s="173"/>
      <c r="C133" s="6">
        <v>2221</v>
      </c>
      <c r="D133" s="38"/>
      <c r="E133" s="132">
        <v>120.3</v>
      </c>
      <c r="F133" s="8" t="s">
        <v>51</v>
      </c>
      <c r="I133" s="17"/>
    </row>
    <row r="134" spans="1:9" s="54" customFormat="1" ht="29.45" customHeight="1">
      <c r="A134" s="173"/>
      <c r="B134" s="173"/>
      <c r="C134" s="6">
        <v>3112</v>
      </c>
      <c r="D134" s="38"/>
      <c r="E134" s="132">
        <v>3168.8</v>
      </c>
      <c r="F134" s="8" t="s">
        <v>92</v>
      </c>
      <c r="I134" s="17"/>
    </row>
    <row r="135" spans="1:9" s="54" customFormat="1" ht="30.6" customHeight="1">
      <c r="A135" s="173"/>
      <c r="B135" s="173"/>
      <c r="C135" s="6">
        <v>2222</v>
      </c>
      <c r="D135" s="38"/>
      <c r="E135" s="132">
        <v>1815.7</v>
      </c>
      <c r="F135" s="8" t="s">
        <v>91</v>
      </c>
      <c r="I135" s="17"/>
    </row>
    <row r="136" spans="1:9" s="54" customFormat="1">
      <c r="A136" s="173"/>
      <c r="B136" s="173"/>
      <c r="C136" s="6">
        <v>2218</v>
      </c>
      <c r="D136" s="38"/>
      <c r="E136" s="132">
        <v>5304</v>
      </c>
      <c r="F136" s="8" t="s">
        <v>52</v>
      </c>
      <c r="I136" s="17"/>
    </row>
    <row r="137" spans="1:9" s="54" customFormat="1" ht="13.9" customHeight="1">
      <c r="A137" s="174">
        <v>16</v>
      </c>
      <c r="B137" s="174" t="s">
        <v>29</v>
      </c>
      <c r="C137" s="6">
        <v>2211</v>
      </c>
      <c r="D137" s="38"/>
      <c r="E137" s="132">
        <f>150-15</f>
        <v>135</v>
      </c>
      <c r="F137" s="8" t="s">
        <v>53</v>
      </c>
      <c r="I137" s="17"/>
    </row>
    <row r="138" spans="1:9" s="54" customFormat="1" ht="13.9" customHeight="1">
      <c r="A138" s="175"/>
      <c r="B138" s="175"/>
      <c r="C138" s="6">
        <v>2218</v>
      </c>
      <c r="D138" s="38"/>
      <c r="E138" s="132">
        <v>15</v>
      </c>
      <c r="F138" s="8" t="s">
        <v>179</v>
      </c>
      <c r="I138" s="17"/>
    </row>
    <row r="139" spans="1:9" s="54" customFormat="1" ht="38.25">
      <c r="A139" s="49">
        <v>17</v>
      </c>
      <c r="B139" s="48" t="s">
        <v>199</v>
      </c>
      <c r="C139" s="6">
        <v>2721</v>
      </c>
      <c r="D139" s="38"/>
      <c r="E139" s="132">
        <v>306</v>
      </c>
      <c r="F139" s="8" t="s">
        <v>95</v>
      </c>
      <c r="I139" s="17"/>
    </row>
    <row r="140" spans="1:9" s="54" customFormat="1">
      <c r="A140" s="164">
        <v>18</v>
      </c>
      <c r="B140" s="174" t="s">
        <v>32</v>
      </c>
      <c r="C140" s="6">
        <v>14152100</v>
      </c>
      <c r="D140" s="38">
        <v>2000</v>
      </c>
      <c r="E140" s="132"/>
      <c r="F140" s="8" t="s">
        <v>79</v>
      </c>
      <c r="I140" s="17"/>
    </row>
    <row r="141" spans="1:9" s="54" customFormat="1">
      <c r="A141" s="165"/>
      <c r="B141" s="186"/>
      <c r="C141" s="6">
        <v>14211200</v>
      </c>
      <c r="D141" s="38">
        <v>1000</v>
      </c>
      <c r="E141" s="132"/>
      <c r="F141" s="8" t="s">
        <v>77</v>
      </c>
      <c r="I141" s="17"/>
    </row>
    <row r="142" spans="1:9" s="54" customFormat="1">
      <c r="A142" s="166"/>
      <c r="B142" s="175"/>
      <c r="C142" s="6">
        <v>14224300</v>
      </c>
      <c r="D142" s="38">
        <v>1000</v>
      </c>
      <c r="E142" s="132"/>
      <c r="F142" s="8" t="s">
        <v>76</v>
      </c>
      <c r="I142" s="17"/>
    </row>
    <row r="143" spans="1:9" s="54" customFormat="1">
      <c r="A143" s="47">
        <v>19</v>
      </c>
      <c r="B143" s="46" t="s">
        <v>28</v>
      </c>
      <c r="C143" s="6">
        <v>14152100</v>
      </c>
      <c r="D143" s="38">
        <f>2500+200</f>
        <v>2700</v>
      </c>
      <c r="E143" s="132"/>
      <c r="F143" s="8" t="s">
        <v>78</v>
      </c>
      <c r="I143" s="17"/>
    </row>
    <row r="144" spans="1:9" ht="25.5">
      <c r="A144" s="6">
        <v>20</v>
      </c>
      <c r="B144" s="12" t="s">
        <v>198</v>
      </c>
      <c r="C144" s="6">
        <v>11111</v>
      </c>
      <c r="D144" s="38">
        <f>60000+10000</f>
        <v>70000</v>
      </c>
      <c r="E144" s="132"/>
      <c r="F144" s="8" t="s">
        <v>197</v>
      </c>
      <c r="I144" s="9"/>
    </row>
    <row r="145" spans="1:9">
      <c r="A145" s="6"/>
      <c r="B145" s="183" t="s">
        <v>34</v>
      </c>
      <c r="C145" s="184"/>
      <c r="D145" s="42">
        <f>SUM(D10:D144)</f>
        <v>123399.9</v>
      </c>
      <c r="E145" s="42">
        <f>SUM(E10:E144)</f>
        <v>123399.9</v>
      </c>
      <c r="F145" s="8"/>
      <c r="G145" s="51"/>
      <c r="H145" s="51"/>
      <c r="I145" s="9"/>
    </row>
    <row r="146" spans="1:9">
      <c r="A146" s="20"/>
      <c r="B146" s="21"/>
      <c r="C146" s="22"/>
      <c r="D146" s="39"/>
      <c r="E146" s="41"/>
      <c r="F146" s="34"/>
      <c r="G146" s="51"/>
      <c r="H146" s="51"/>
    </row>
    <row r="147" spans="1:9">
      <c r="A147" s="20"/>
      <c r="B147" s="21"/>
      <c r="C147" s="22"/>
      <c r="D147" s="39"/>
      <c r="E147" s="41">
        <f>D145-E145</f>
        <v>0</v>
      </c>
      <c r="F147" s="34"/>
      <c r="G147" s="51"/>
      <c r="H147" s="51"/>
    </row>
    <row r="148" spans="1:9">
      <c r="B148" s="23"/>
      <c r="C148" s="24"/>
      <c r="D148" s="51"/>
    </row>
    <row r="149" spans="1:9" ht="15.75">
      <c r="B149" s="149" t="s">
        <v>208</v>
      </c>
      <c r="C149" s="149"/>
      <c r="D149" s="150"/>
      <c r="E149" s="150"/>
      <c r="F149" s="150" t="s">
        <v>209</v>
      </c>
      <c r="G149" s="150"/>
      <c r="H149" s="24"/>
    </row>
  </sheetData>
  <mergeCells count="77">
    <mergeCell ref="B17:B18"/>
    <mergeCell ref="A17:A18"/>
    <mergeCell ref="F17:F18"/>
    <mergeCell ref="B23:B29"/>
    <mergeCell ref="A32:A34"/>
    <mergeCell ref="F32:F34"/>
    <mergeCell ref="A23:A29"/>
    <mergeCell ref="F23:F28"/>
    <mergeCell ref="B19:B22"/>
    <mergeCell ref="A19:A22"/>
    <mergeCell ref="B30:B31"/>
    <mergeCell ref="A30:A31"/>
    <mergeCell ref="B32:B34"/>
    <mergeCell ref="A7:F7"/>
    <mergeCell ref="A10:A12"/>
    <mergeCell ref="B10:B12"/>
    <mergeCell ref="F10:F12"/>
    <mergeCell ref="A13:A15"/>
    <mergeCell ref="B13:B15"/>
    <mergeCell ref="F13:F15"/>
    <mergeCell ref="B77:B79"/>
    <mergeCell ref="A77:A79"/>
    <mergeCell ref="A55:A56"/>
    <mergeCell ref="A51:A53"/>
    <mergeCell ref="F39:F42"/>
    <mergeCell ref="B72:B73"/>
    <mergeCell ref="B74:B75"/>
    <mergeCell ref="F63:F64"/>
    <mergeCell ref="A57:A59"/>
    <mergeCell ref="A63:A64"/>
    <mergeCell ref="B60:B62"/>
    <mergeCell ref="F60:F62"/>
    <mergeCell ref="A72:A73"/>
    <mergeCell ref="A65:A68"/>
    <mergeCell ref="B65:B68"/>
    <mergeCell ref="B39:B43"/>
    <mergeCell ref="F36:F38"/>
    <mergeCell ref="A36:A38"/>
    <mergeCell ref="B36:B38"/>
    <mergeCell ref="B63:B64"/>
    <mergeCell ref="B70:B71"/>
    <mergeCell ref="A70:A71"/>
    <mergeCell ref="A39:A43"/>
    <mergeCell ref="A44:A50"/>
    <mergeCell ref="B44:B50"/>
    <mergeCell ref="B145:C145"/>
    <mergeCell ref="F55:F56"/>
    <mergeCell ref="B57:B59"/>
    <mergeCell ref="B55:B56"/>
    <mergeCell ref="F51:F53"/>
    <mergeCell ref="F57:F59"/>
    <mergeCell ref="B140:B142"/>
    <mergeCell ref="B126:B131"/>
    <mergeCell ref="B132:B136"/>
    <mergeCell ref="B137:B138"/>
    <mergeCell ref="B102:B116"/>
    <mergeCell ref="F121:F122"/>
    <mergeCell ref="F80:F81"/>
    <mergeCell ref="B87:B101"/>
    <mergeCell ref="B117:B120"/>
    <mergeCell ref="B80:B86"/>
    <mergeCell ref="A140:A142"/>
    <mergeCell ref="B121:B122"/>
    <mergeCell ref="A121:A122"/>
    <mergeCell ref="F127:F128"/>
    <mergeCell ref="F44:F49"/>
    <mergeCell ref="A126:A131"/>
    <mergeCell ref="A132:A136"/>
    <mergeCell ref="A137:A138"/>
    <mergeCell ref="A102:A116"/>
    <mergeCell ref="A87:A101"/>
    <mergeCell ref="A117:A120"/>
    <mergeCell ref="A80:A86"/>
    <mergeCell ref="A74:A75"/>
    <mergeCell ref="F65:F68"/>
    <mergeCell ref="A60:A62"/>
    <mergeCell ref="B51:B53"/>
  </mergeCells>
  <pageMargins left="0.39370078740157483" right="0.39370078740157483" top="0.39370078740157483" bottom="0.39370078740157483" header="0.31496062992125984" footer="0.31496062992125984"/>
  <pageSetup paperSize="9" scale="83" fitToHeight="0" orientation="portrait" verticalDpi="0" r:id="rId1"/>
  <rowBreaks count="2" manualBreakCount="2">
    <brk id="64" max="5" man="1"/>
    <brk id="13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view="pageBreakPreview" zoomScale="130" zoomScaleNormal="85" zoomScaleSheetLayoutView="130" workbookViewId="0">
      <selection activeCell="F28" sqref="F28:F29"/>
    </sheetView>
  </sheetViews>
  <sheetFormatPr defaultColWidth="9.140625" defaultRowHeight="12.75"/>
  <cols>
    <col min="1" max="1" width="3" style="50" bestFit="1" customWidth="1"/>
    <col min="2" max="2" width="26" style="50" customWidth="1"/>
    <col min="3" max="3" width="9" style="50" bestFit="1" customWidth="1"/>
    <col min="4" max="4" width="14.140625" style="50" bestFit="1" customWidth="1"/>
    <col min="5" max="5" width="12.140625" style="50" customWidth="1"/>
    <col min="6" max="6" width="43.140625" style="50" customWidth="1"/>
    <col min="7" max="8" width="9.140625" style="50"/>
    <col min="9" max="9" width="9.140625" style="1"/>
    <col min="10" max="16384" width="9.140625" style="50"/>
  </cols>
  <sheetData>
    <row r="1" spans="1:9">
      <c r="F1" s="144" t="s">
        <v>190</v>
      </c>
    </row>
    <row r="2" spans="1:9">
      <c r="F2" s="145" t="s">
        <v>203</v>
      </c>
    </row>
    <row r="3" spans="1:9">
      <c r="F3" s="144" t="s">
        <v>204</v>
      </c>
    </row>
    <row r="4" spans="1:9">
      <c r="F4" s="144" t="s">
        <v>205</v>
      </c>
    </row>
    <row r="5" spans="1:9">
      <c r="F5" s="146" t="s">
        <v>268</v>
      </c>
    </row>
    <row r="6" spans="1:9">
      <c r="F6" s="2"/>
    </row>
    <row r="7" spans="1:9" ht="27" customHeight="1">
      <c r="A7" s="190" t="s">
        <v>48</v>
      </c>
      <c r="B7" s="191"/>
      <c r="C7" s="191"/>
      <c r="D7" s="191"/>
      <c r="E7" s="191"/>
      <c r="F7" s="191"/>
    </row>
    <row r="8" spans="1:9" ht="51">
      <c r="A8" s="3" t="s">
        <v>0</v>
      </c>
      <c r="B8" s="3" t="s">
        <v>1</v>
      </c>
      <c r="C8" s="3" t="s">
        <v>2</v>
      </c>
      <c r="D8" s="4" t="s">
        <v>3</v>
      </c>
      <c r="E8" s="4" t="s">
        <v>21</v>
      </c>
      <c r="F8" s="3" t="s">
        <v>4</v>
      </c>
    </row>
    <row r="9" spans="1:9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10</v>
      </c>
    </row>
    <row r="10" spans="1:9" ht="13.15" customHeight="1">
      <c r="A10" s="176">
        <v>1</v>
      </c>
      <c r="B10" s="171" t="s">
        <v>32</v>
      </c>
      <c r="C10" s="6">
        <v>2214</v>
      </c>
      <c r="D10" s="25">
        <v>1.4</v>
      </c>
      <c r="E10" s="26"/>
      <c r="F10" s="170" t="s">
        <v>22</v>
      </c>
    </row>
    <row r="11" spans="1:9">
      <c r="A11" s="177"/>
      <c r="B11" s="172"/>
      <c r="C11" s="19">
        <v>2215</v>
      </c>
      <c r="D11" s="26">
        <v>9.9</v>
      </c>
      <c r="E11" s="26"/>
      <c r="F11" s="170"/>
    </row>
    <row r="12" spans="1:9">
      <c r="A12" s="177"/>
      <c r="B12" s="172"/>
      <c r="C12" s="19">
        <v>2822</v>
      </c>
      <c r="D12" s="26">
        <f>543.9+960+130</f>
        <v>1633.9</v>
      </c>
      <c r="E12" s="26"/>
      <c r="F12" s="8" t="s">
        <v>47</v>
      </c>
    </row>
    <row r="13" spans="1:9">
      <c r="A13" s="177"/>
      <c r="B13" s="172"/>
      <c r="C13" s="19">
        <v>2221</v>
      </c>
      <c r="D13" s="26">
        <v>19.600000000000001</v>
      </c>
      <c r="E13" s="26"/>
      <c r="F13" s="170" t="s">
        <v>22</v>
      </c>
    </row>
    <row r="14" spans="1:9">
      <c r="A14" s="177"/>
      <c r="B14" s="172"/>
      <c r="C14" s="19">
        <v>2222</v>
      </c>
      <c r="D14" s="26">
        <v>47.3</v>
      </c>
      <c r="E14" s="26"/>
      <c r="F14" s="170"/>
    </row>
    <row r="15" spans="1:9">
      <c r="A15" s="177"/>
      <c r="B15" s="172"/>
      <c r="C15" s="19">
        <v>3112</v>
      </c>
      <c r="D15" s="26">
        <v>28.3</v>
      </c>
      <c r="E15" s="26"/>
      <c r="F15" s="170"/>
    </row>
    <row r="16" spans="1:9" ht="13.15" customHeight="1">
      <c r="A16" s="177"/>
      <c r="B16" s="172"/>
      <c r="C16" s="7">
        <v>2231</v>
      </c>
      <c r="D16" s="119"/>
      <c r="E16" s="119">
        <v>26.4</v>
      </c>
      <c r="F16" s="16" t="s">
        <v>46</v>
      </c>
      <c r="H16" s="1"/>
      <c r="I16" s="50"/>
    </row>
    <row r="17" spans="1:9">
      <c r="A17" s="177"/>
      <c r="B17" s="172"/>
      <c r="C17" s="7">
        <v>2215</v>
      </c>
      <c r="D17" s="119"/>
      <c r="E17" s="119">
        <v>325</v>
      </c>
      <c r="F17" s="16" t="s">
        <v>94</v>
      </c>
      <c r="H17" s="1"/>
      <c r="I17" s="50"/>
    </row>
    <row r="18" spans="1:9" ht="25.5">
      <c r="A18" s="177"/>
      <c r="B18" s="172"/>
      <c r="C18" s="56">
        <v>2215</v>
      </c>
      <c r="D18" s="119"/>
      <c r="E18" s="120">
        <f>250+600</f>
        <v>850</v>
      </c>
      <c r="F18" s="16" t="s">
        <v>59</v>
      </c>
      <c r="H18" s="1"/>
      <c r="I18" s="50"/>
    </row>
    <row r="19" spans="1:9">
      <c r="A19" s="177"/>
      <c r="B19" s="172"/>
      <c r="C19" s="56">
        <v>2215</v>
      </c>
      <c r="D19" s="119"/>
      <c r="E19" s="120">
        <v>10</v>
      </c>
      <c r="F19" s="16" t="s">
        <v>37</v>
      </c>
      <c r="H19" s="1"/>
      <c r="I19" s="50"/>
    </row>
    <row r="20" spans="1:9">
      <c r="A20" s="177"/>
      <c r="B20" s="172"/>
      <c r="C20" s="56">
        <v>3112</v>
      </c>
      <c r="D20" s="119"/>
      <c r="E20" s="120">
        <v>360</v>
      </c>
      <c r="F20" s="16" t="s">
        <v>100</v>
      </c>
      <c r="H20" s="1"/>
      <c r="I20" s="50"/>
    </row>
    <row r="21" spans="1:9">
      <c r="A21" s="177"/>
      <c r="B21" s="172"/>
      <c r="C21" s="56">
        <v>3112</v>
      </c>
      <c r="D21" s="119"/>
      <c r="E21" s="120">
        <v>130</v>
      </c>
      <c r="F21" s="8" t="s">
        <v>164</v>
      </c>
      <c r="H21" s="1"/>
      <c r="I21" s="50"/>
    </row>
    <row r="22" spans="1:9" ht="25.5">
      <c r="A22" s="178"/>
      <c r="B22" s="182"/>
      <c r="C22" s="56">
        <v>2212</v>
      </c>
      <c r="D22" s="119"/>
      <c r="E22" s="120">
        <v>39</v>
      </c>
      <c r="F22" s="16" t="s">
        <v>60</v>
      </c>
      <c r="H22" s="1"/>
      <c r="I22" s="50"/>
    </row>
    <row r="23" spans="1:9">
      <c r="A23" s="171">
        <v>2</v>
      </c>
      <c r="B23" s="171" t="s">
        <v>80</v>
      </c>
      <c r="C23" s="19">
        <v>2214</v>
      </c>
      <c r="D23" s="26">
        <v>330</v>
      </c>
      <c r="E23" s="26"/>
      <c r="F23" s="170" t="s">
        <v>22</v>
      </c>
    </row>
    <row r="24" spans="1:9" ht="13.9" customHeight="1">
      <c r="A24" s="172"/>
      <c r="B24" s="172"/>
      <c r="C24" s="19">
        <v>2222</v>
      </c>
      <c r="D24" s="26">
        <v>34.4</v>
      </c>
      <c r="E24" s="26"/>
      <c r="F24" s="170"/>
    </row>
    <row r="25" spans="1:9" ht="13.9" customHeight="1">
      <c r="A25" s="172"/>
      <c r="B25" s="172"/>
      <c r="C25" s="19">
        <v>2215</v>
      </c>
      <c r="D25" s="26">
        <v>9.9</v>
      </c>
      <c r="E25" s="26"/>
      <c r="F25" s="170"/>
    </row>
    <row r="26" spans="1:9" ht="14.45" customHeight="1">
      <c r="A26" s="172"/>
      <c r="B26" s="172"/>
      <c r="C26" s="19">
        <v>3112</v>
      </c>
      <c r="D26" s="26">
        <v>320</v>
      </c>
      <c r="E26" s="26"/>
      <c r="F26" s="170"/>
    </row>
    <row r="27" spans="1:9" ht="13.9" customHeight="1">
      <c r="A27" s="172"/>
      <c r="B27" s="172"/>
      <c r="C27" s="6">
        <v>14238900</v>
      </c>
      <c r="D27" s="25">
        <v>7214.7</v>
      </c>
      <c r="E27" s="25"/>
      <c r="F27" s="8" t="s">
        <v>75</v>
      </c>
      <c r="H27" s="1"/>
      <c r="I27" s="50"/>
    </row>
    <row r="28" spans="1:9">
      <c r="A28" s="172"/>
      <c r="B28" s="172"/>
      <c r="C28" s="7">
        <v>2111</v>
      </c>
      <c r="D28" s="119"/>
      <c r="E28" s="119">
        <f>1085.7+1417.3</f>
        <v>2503</v>
      </c>
      <c r="F28" s="168" t="s">
        <v>212</v>
      </c>
      <c r="H28" s="9"/>
      <c r="I28" s="50"/>
    </row>
    <row r="29" spans="1:9">
      <c r="A29" s="172"/>
      <c r="B29" s="172"/>
      <c r="C29" s="7">
        <v>2121</v>
      </c>
      <c r="D29" s="119"/>
      <c r="E29" s="119">
        <f>187.3+310.2</f>
        <v>497.5</v>
      </c>
      <c r="F29" s="169"/>
      <c r="H29" s="9"/>
      <c r="I29" s="50"/>
    </row>
    <row r="30" spans="1:9">
      <c r="A30" s="172"/>
      <c r="B30" s="172"/>
      <c r="C30" s="7">
        <v>2222</v>
      </c>
      <c r="D30" s="119"/>
      <c r="E30" s="119">
        <v>20</v>
      </c>
      <c r="F30" s="16" t="s">
        <v>83</v>
      </c>
      <c r="H30" s="9"/>
      <c r="I30" s="50"/>
    </row>
    <row r="31" spans="1:9" ht="51">
      <c r="A31" s="172"/>
      <c r="B31" s="172"/>
      <c r="C31" s="7">
        <v>2214</v>
      </c>
      <c r="D31" s="119"/>
      <c r="E31" s="119">
        <f>5840.5-1727.5</f>
        <v>4113</v>
      </c>
      <c r="F31" s="16" t="s">
        <v>211</v>
      </c>
      <c r="H31" s="9"/>
      <c r="I31" s="50"/>
    </row>
    <row r="32" spans="1:9" ht="38.25">
      <c r="A32" s="172"/>
      <c r="B32" s="172"/>
      <c r="C32" s="7">
        <v>2212</v>
      </c>
      <c r="D32" s="119"/>
      <c r="E32" s="119">
        <v>3.5</v>
      </c>
      <c r="F32" s="16" t="s">
        <v>84</v>
      </c>
      <c r="H32" s="9"/>
      <c r="I32" s="50"/>
    </row>
    <row r="33" spans="1:11" ht="92.45" customHeight="1">
      <c r="A33" s="172"/>
      <c r="B33" s="172"/>
      <c r="C33" s="7">
        <v>2215</v>
      </c>
      <c r="D33" s="119"/>
      <c r="E33" s="119">
        <v>225</v>
      </c>
      <c r="F33" s="16" t="s">
        <v>170</v>
      </c>
      <c r="H33" s="9"/>
      <c r="I33" s="50"/>
    </row>
    <row r="34" spans="1:11" ht="25.5">
      <c r="A34" s="172"/>
      <c r="B34" s="172"/>
      <c r="C34" s="7">
        <v>2231</v>
      </c>
      <c r="D34" s="119"/>
      <c r="E34" s="119">
        <v>36</v>
      </c>
      <c r="F34" s="16" t="s">
        <v>85</v>
      </c>
      <c r="H34" s="9"/>
      <c r="I34" s="50"/>
    </row>
    <row r="35" spans="1:11">
      <c r="A35" s="172"/>
      <c r="B35" s="172"/>
      <c r="C35" s="7">
        <v>2221</v>
      </c>
      <c r="D35" s="119"/>
      <c r="E35" s="119">
        <v>30</v>
      </c>
      <c r="F35" s="16" t="s">
        <v>172</v>
      </c>
      <c r="H35" s="9"/>
      <c r="I35" s="50"/>
    </row>
    <row r="36" spans="1:11" ht="25.5">
      <c r="A36" s="172"/>
      <c r="B36" s="172"/>
      <c r="C36" s="7">
        <v>3111</v>
      </c>
      <c r="D36" s="119"/>
      <c r="E36" s="119">
        <v>100</v>
      </c>
      <c r="F36" s="16" t="s">
        <v>86</v>
      </c>
      <c r="H36" s="9"/>
      <c r="I36" s="50"/>
    </row>
    <row r="37" spans="1:11" ht="63.75">
      <c r="A37" s="182"/>
      <c r="B37" s="182"/>
      <c r="C37" s="7">
        <v>3112</v>
      </c>
      <c r="D37" s="119"/>
      <c r="E37" s="119">
        <f>347+34</f>
        <v>381</v>
      </c>
      <c r="F37" s="16" t="s">
        <v>171</v>
      </c>
      <c r="H37" s="9"/>
      <c r="I37" s="50"/>
    </row>
    <row r="38" spans="1:11">
      <c r="A38" s="176">
        <v>3</v>
      </c>
      <c r="B38" s="171" t="s">
        <v>96</v>
      </c>
      <c r="C38" s="19">
        <v>14238900</v>
      </c>
      <c r="D38" s="26">
        <v>27.3</v>
      </c>
      <c r="E38" s="26"/>
      <c r="F38" s="168" t="s">
        <v>188</v>
      </c>
      <c r="J38" s="51"/>
      <c r="K38" s="51"/>
    </row>
    <row r="39" spans="1:11">
      <c r="A39" s="178"/>
      <c r="B39" s="182"/>
      <c r="C39" s="19">
        <v>2215</v>
      </c>
      <c r="D39" s="26"/>
      <c r="E39" s="26">
        <v>27.3</v>
      </c>
      <c r="F39" s="169"/>
    </row>
    <row r="40" spans="1:11">
      <c r="A40" s="176">
        <v>4</v>
      </c>
      <c r="B40" s="171" t="s">
        <v>201</v>
      </c>
      <c r="C40" s="138">
        <v>14412100</v>
      </c>
      <c r="D40" s="139">
        <v>12000</v>
      </c>
      <c r="E40" s="139"/>
      <c r="F40" s="45" t="s">
        <v>196</v>
      </c>
    </row>
    <row r="41" spans="1:11" ht="51">
      <c r="A41" s="178"/>
      <c r="B41" s="182"/>
      <c r="C41" s="138">
        <v>3111</v>
      </c>
      <c r="D41" s="139"/>
      <c r="E41" s="139">
        <v>12000</v>
      </c>
      <c r="F41" s="129" t="s">
        <v>200</v>
      </c>
    </row>
    <row r="42" spans="1:11">
      <c r="A42" s="6"/>
      <c r="B42" s="18"/>
      <c r="C42" s="19"/>
      <c r="D42" s="27">
        <f>SUM(D10:D41)</f>
        <v>21676.699999999997</v>
      </c>
      <c r="E42" s="27">
        <f>SUM(E10:E41)</f>
        <v>21676.699999999997</v>
      </c>
      <c r="F42" s="8"/>
      <c r="G42" s="51"/>
      <c r="H42" s="28"/>
      <c r="I42" s="50"/>
    </row>
    <row r="43" spans="1:11">
      <c r="A43" s="20"/>
      <c r="B43" s="29"/>
      <c r="C43" s="22"/>
      <c r="D43" s="30"/>
      <c r="E43" s="51">
        <f>E42-D42</f>
        <v>0</v>
      </c>
      <c r="I43" s="50"/>
    </row>
    <row r="44" spans="1:11" ht="12.75" customHeight="1">
      <c r="A44" s="20"/>
      <c r="B44" s="22"/>
      <c r="C44" s="22"/>
      <c r="D44" s="30"/>
      <c r="I44" s="50"/>
    </row>
    <row r="45" spans="1:11">
      <c r="A45" s="20"/>
      <c r="B45" s="24"/>
      <c r="C45" s="24"/>
      <c r="D45" s="31"/>
      <c r="I45" s="50"/>
    </row>
    <row r="46" spans="1:11">
      <c r="A46" s="20"/>
      <c r="B46" s="22"/>
      <c r="C46" s="22"/>
      <c r="D46" s="31"/>
      <c r="I46" s="50"/>
    </row>
    <row r="47" spans="1:11">
      <c r="B47" s="79" t="s">
        <v>210</v>
      </c>
      <c r="C47" s="79"/>
      <c r="D47" s="79"/>
      <c r="E47" s="79"/>
      <c r="F47" s="79" t="s">
        <v>209</v>
      </c>
      <c r="I47" s="50"/>
    </row>
    <row r="48" spans="1:11">
      <c r="B48" s="1"/>
      <c r="I48" s="50"/>
    </row>
    <row r="49" spans="1:9">
      <c r="I49" s="50"/>
    </row>
    <row r="50" spans="1:9">
      <c r="A50" s="22"/>
      <c r="B50" s="20"/>
      <c r="C50" s="20"/>
      <c r="D50" s="32"/>
      <c r="I50" s="50"/>
    </row>
    <row r="51" spans="1:9">
      <c r="A51" s="33"/>
      <c r="B51" s="33"/>
      <c r="C51" s="33"/>
      <c r="D51" s="33"/>
      <c r="I51" s="50"/>
    </row>
    <row r="52" spans="1:9">
      <c r="H52" s="51"/>
    </row>
  </sheetData>
  <mergeCells count="14">
    <mergeCell ref="F38:F39"/>
    <mergeCell ref="A38:A39"/>
    <mergeCell ref="B38:B39"/>
    <mergeCell ref="B40:B41"/>
    <mergeCell ref="A40:A41"/>
    <mergeCell ref="F28:F29"/>
    <mergeCell ref="B23:B37"/>
    <mergeCell ref="A23:A37"/>
    <mergeCell ref="F23:F26"/>
    <mergeCell ref="A7:F7"/>
    <mergeCell ref="F13:F15"/>
    <mergeCell ref="F10:F11"/>
    <mergeCell ref="B10:B22"/>
    <mergeCell ref="A10:A22"/>
  </mergeCells>
  <pageMargins left="0.23622047244094491" right="0.23622047244094491" top="0.74803149606299213" bottom="0.74803149606299213" header="0.31496062992125984" footer="0.31496062992125984"/>
  <pageSetup paperSize="9" scale="8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abSelected="1" view="pageBreakPreview" zoomScale="115" zoomScaleNormal="100" zoomScaleSheetLayoutView="115" workbookViewId="0">
      <selection activeCell="W12" sqref="W12"/>
    </sheetView>
  </sheetViews>
  <sheetFormatPr defaultColWidth="9.140625" defaultRowHeight="12.75"/>
  <cols>
    <col min="1" max="1" width="4.140625" style="192" customWidth="1"/>
    <col min="2" max="2" width="28.42578125" style="192" customWidth="1"/>
    <col min="3" max="3" width="4.85546875" style="192" customWidth="1"/>
    <col min="4" max="4" width="7.28515625" style="192" customWidth="1"/>
    <col min="5" max="5" width="5.5703125" style="192" customWidth="1"/>
    <col min="6" max="6" width="9.28515625" style="192" bestFit="1" customWidth="1"/>
    <col min="7" max="7" width="4.28515625" style="192" bestFit="1" customWidth="1"/>
    <col min="8" max="8" width="6.42578125" style="192" bestFit="1" customWidth="1"/>
    <col min="9" max="9" width="6.28515625" style="192" hidden="1" customWidth="1"/>
    <col min="10" max="11" width="6.85546875" style="192" hidden="1" customWidth="1"/>
    <col min="12" max="12" width="8.140625" style="192" hidden="1" customWidth="1"/>
    <col min="13" max="13" width="7.7109375" style="192" hidden="1" customWidth="1"/>
    <col min="14" max="14" width="4.28515625" style="192" bestFit="1" customWidth="1"/>
    <col min="15" max="15" width="7.42578125" style="192" customWidth="1"/>
    <col min="16" max="16" width="4.28515625" style="192" bestFit="1" customWidth="1"/>
    <col min="17" max="17" width="6.140625" style="192" bestFit="1" customWidth="1"/>
    <col min="18" max="18" width="7.7109375" style="192" customWidth="1"/>
    <col min="19" max="19" width="8.7109375" style="192" customWidth="1"/>
    <col min="20" max="20" width="7.42578125" style="192" customWidth="1"/>
    <col min="21" max="21" width="7.85546875" style="192" customWidth="1"/>
    <col min="22" max="22" width="9" style="192" customWidth="1"/>
    <col min="23" max="23" width="11.42578125" style="192" bestFit="1" customWidth="1"/>
    <col min="24" max="24" width="10.7109375" style="192" bestFit="1" customWidth="1"/>
    <col min="25" max="25" width="11.7109375" style="192" customWidth="1"/>
    <col min="26" max="16384" width="9.140625" style="192"/>
  </cols>
  <sheetData>
    <row r="1" spans="1:28">
      <c r="Y1" s="144" t="s">
        <v>190</v>
      </c>
    </row>
    <row r="2" spans="1:28">
      <c r="Y2" s="145" t="s">
        <v>203</v>
      </c>
    </row>
    <row r="3" spans="1:28">
      <c r="Y3" s="144" t="s">
        <v>204</v>
      </c>
    </row>
    <row r="4" spans="1:28">
      <c r="Y4" s="144" t="s">
        <v>205</v>
      </c>
    </row>
    <row r="5" spans="1:28">
      <c r="Y5" s="146" t="s">
        <v>207</v>
      </c>
    </row>
    <row r="7" spans="1:28">
      <c r="A7" s="193" t="s">
        <v>269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4"/>
      <c r="AA7" s="194"/>
      <c r="AB7" s="194"/>
    </row>
    <row r="9" spans="1:28">
      <c r="A9" s="195" t="s">
        <v>0</v>
      </c>
      <c r="B9" s="195" t="s">
        <v>213</v>
      </c>
      <c r="C9" s="195" t="s">
        <v>214</v>
      </c>
      <c r="D9" s="195" t="s">
        <v>215</v>
      </c>
      <c r="E9" s="195" t="s">
        <v>216</v>
      </c>
      <c r="F9" s="196" t="s">
        <v>217</v>
      </c>
      <c r="G9" s="197" t="s">
        <v>218</v>
      </c>
      <c r="H9" s="198"/>
      <c r="I9" s="198"/>
      <c r="J9" s="198"/>
      <c r="K9" s="198"/>
      <c r="L9" s="198"/>
      <c r="M9" s="198"/>
      <c r="N9" s="198"/>
      <c r="O9" s="198"/>
      <c r="P9" s="198"/>
      <c r="Q9" s="199"/>
      <c r="R9" s="195" t="s">
        <v>219</v>
      </c>
      <c r="S9" s="195" t="s">
        <v>220</v>
      </c>
      <c r="T9" s="195" t="s">
        <v>221</v>
      </c>
      <c r="U9" s="195" t="s">
        <v>222</v>
      </c>
      <c r="V9" s="195" t="s">
        <v>223</v>
      </c>
      <c r="W9" s="200" t="s">
        <v>224</v>
      </c>
      <c r="X9" s="200" t="s">
        <v>225</v>
      </c>
      <c r="Y9" s="200" t="s">
        <v>226</v>
      </c>
    </row>
    <row r="10" spans="1:28" ht="143.25" customHeight="1">
      <c r="A10" s="195"/>
      <c r="B10" s="195"/>
      <c r="C10" s="195"/>
      <c r="D10" s="195"/>
      <c r="E10" s="195"/>
      <c r="F10" s="196"/>
      <c r="G10" s="195" t="s">
        <v>227</v>
      </c>
      <c r="H10" s="195"/>
      <c r="I10" s="201" t="s">
        <v>228</v>
      </c>
      <c r="J10" s="195" t="s">
        <v>229</v>
      </c>
      <c r="K10" s="195"/>
      <c r="L10" s="202" t="s">
        <v>230</v>
      </c>
      <c r="M10" s="203"/>
      <c r="N10" s="195" t="s">
        <v>231</v>
      </c>
      <c r="O10" s="195"/>
      <c r="P10" s="204" t="s">
        <v>232</v>
      </c>
      <c r="Q10" s="205"/>
      <c r="R10" s="195"/>
      <c r="S10" s="195"/>
      <c r="T10" s="195"/>
      <c r="U10" s="195"/>
      <c r="V10" s="195"/>
      <c r="W10" s="206"/>
      <c r="X10" s="206"/>
      <c r="Y10" s="206"/>
    </row>
    <row r="11" spans="1:28">
      <c r="A11" s="195"/>
      <c r="B11" s="195"/>
      <c r="C11" s="195"/>
      <c r="D11" s="195"/>
      <c r="E11" s="195"/>
      <c r="F11" s="196"/>
      <c r="G11" s="207" t="s">
        <v>233</v>
      </c>
      <c r="H11" s="207" t="s">
        <v>234</v>
      </c>
      <c r="I11" s="207" t="s">
        <v>234</v>
      </c>
      <c r="J11" s="207" t="s">
        <v>233</v>
      </c>
      <c r="K11" s="207" t="s">
        <v>234</v>
      </c>
      <c r="L11" s="207" t="s">
        <v>233</v>
      </c>
      <c r="M11" s="207" t="s">
        <v>234</v>
      </c>
      <c r="N11" s="207" t="s">
        <v>233</v>
      </c>
      <c r="O11" s="207" t="s">
        <v>234</v>
      </c>
      <c r="P11" s="207" t="s">
        <v>233</v>
      </c>
      <c r="Q11" s="207" t="s">
        <v>234</v>
      </c>
      <c r="R11" s="207" t="s">
        <v>234</v>
      </c>
      <c r="S11" s="207" t="s">
        <v>234</v>
      </c>
      <c r="T11" s="207" t="s">
        <v>234</v>
      </c>
      <c r="U11" s="207" t="s">
        <v>234</v>
      </c>
      <c r="V11" s="207" t="s">
        <v>234</v>
      </c>
      <c r="W11" s="207" t="s">
        <v>234</v>
      </c>
      <c r="X11" s="207" t="s">
        <v>234</v>
      </c>
      <c r="Y11" s="207" t="s">
        <v>234</v>
      </c>
    </row>
    <row r="12" spans="1:28">
      <c r="A12" s="207">
        <v>1</v>
      </c>
      <c r="B12" s="207">
        <v>2</v>
      </c>
      <c r="C12" s="207">
        <v>3</v>
      </c>
      <c r="D12" s="207">
        <v>4</v>
      </c>
      <c r="E12" s="207">
        <v>5</v>
      </c>
      <c r="F12" s="207">
        <v>6</v>
      </c>
      <c r="G12" s="207">
        <v>7</v>
      </c>
      <c r="H12" s="207">
        <v>8</v>
      </c>
      <c r="I12" s="207">
        <v>9</v>
      </c>
      <c r="J12" s="207">
        <v>10</v>
      </c>
      <c r="K12" s="207">
        <v>11</v>
      </c>
      <c r="L12" s="207">
        <v>12</v>
      </c>
      <c r="M12" s="207">
        <v>13</v>
      </c>
      <c r="N12" s="207">
        <v>9</v>
      </c>
      <c r="O12" s="207">
        <v>10</v>
      </c>
      <c r="P12" s="207">
        <v>11</v>
      </c>
      <c r="Q12" s="207">
        <v>12</v>
      </c>
      <c r="R12" s="207">
        <v>13</v>
      </c>
      <c r="S12" s="207">
        <v>14</v>
      </c>
      <c r="T12" s="207">
        <v>15</v>
      </c>
      <c r="U12" s="207">
        <v>16</v>
      </c>
      <c r="V12" s="207">
        <v>17</v>
      </c>
      <c r="W12" s="207">
        <v>18</v>
      </c>
      <c r="X12" s="207">
        <v>19</v>
      </c>
      <c r="Y12" s="207">
        <v>20</v>
      </c>
    </row>
    <row r="13" spans="1:28" hidden="1">
      <c r="A13" s="208">
        <v>1</v>
      </c>
      <c r="B13" s="209" t="s">
        <v>235</v>
      </c>
      <c r="C13" s="210">
        <v>1</v>
      </c>
      <c r="D13" s="211">
        <v>7040</v>
      </c>
      <c r="E13" s="210">
        <v>4</v>
      </c>
      <c r="F13" s="211">
        <f t="shared" ref="F13:F31" si="0">+D13*E13</f>
        <v>28160</v>
      </c>
      <c r="G13" s="212">
        <v>0.3</v>
      </c>
      <c r="H13" s="211">
        <f t="shared" ref="H13:H31" si="1">F13*G13</f>
        <v>8448</v>
      </c>
      <c r="I13" s="213"/>
      <c r="J13" s="212"/>
      <c r="K13" s="214"/>
      <c r="L13" s="212"/>
      <c r="M13" s="215"/>
      <c r="N13" s="212">
        <v>0.35</v>
      </c>
      <c r="O13" s="211">
        <f t="shared" ref="O13:O28" si="2">+F13*N13</f>
        <v>9856</v>
      </c>
      <c r="P13" s="216"/>
      <c r="Q13" s="217">
        <f t="shared" ref="Q13:Q28" si="3">F13*P13</f>
        <v>0</v>
      </c>
      <c r="R13" s="211">
        <f t="shared" ref="R13:R28" si="4">+F13+H13+I13+M13+O13+Q13</f>
        <v>46464</v>
      </c>
      <c r="S13" s="218">
        <f t="shared" ref="S13:S31" si="5">R13*C13</f>
        <v>46464</v>
      </c>
      <c r="T13" s="218">
        <f t="shared" ref="T13:T31" si="6">(((S13+(S13*14.0135/12/12)))*3/3/29.6)*30</f>
        <v>51674.685135135136</v>
      </c>
      <c r="U13" s="217">
        <f t="shared" ref="U13:U31" si="7">S13*2</f>
        <v>92928</v>
      </c>
      <c r="V13" s="218">
        <f>(S13*14.0135)/12</f>
        <v>54260.271999999997</v>
      </c>
      <c r="W13" s="219">
        <f>(S13*11)+T13+U13+V13</f>
        <v>709966.95713513519</v>
      </c>
      <c r="X13" s="219">
        <f>((S13*11)+T13+V13)*0.1725</f>
        <v>106439.22010581082</v>
      </c>
      <c r="Y13" s="219">
        <f>W13+X13</f>
        <v>816406.17724094598</v>
      </c>
    </row>
    <row r="14" spans="1:28" hidden="1">
      <c r="A14" s="208">
        <v>2</v>
      </c>
      <c r="B14" s="209" t="s">
        <v>236</v>
      </c>
      <c r="C14" s="210">
        <v>1</v>
      </c>
      <c r="D14" s="211">
        <v>7040</v>
      </c>
      <c r="E14" s="210">
        <v>3.43</v>
      </c>
      <c r="F14" s="211">
        <f t="shared" si="0"/>
        <v>24147.200000000001</v>
      </c>
      <c r="G14" s="212">
        <v>0.2</v>
      </c>
      <c r="H14" s="211">
        <f t="shared" si="1"/>
        <v>4829.4400000000005</v>
      </c>
      <c r="I14" s="220"/>
      <c r="J14" s="212"/>
      <c r="K14" s="214"/>
      <c r="L14" s="212"/>
      <c r="M14" s="215"/>
      <c r="N14" s="212">
        <v>0.35</v>
      </c>
      <c r="O14" s="211">
        <f t="shared" si="2"/>
        <v>8451.52</v>
      </c>
      <c r="P14" s="216"/>
      <c r="Q14" s="217">
        <f t="shared" si="3"/>
        <v>0</v>
      </c>
      <c r="R14" s="211">
        <f t="shared" si="4"/>
        <v>37428.160000000003</v>
      </c>
      <c r="S14" s="218">
        <f t="shared" si="5"/>
        <v>37428.160000000003</v>
      </c>
      <c r="T14" s="218">
        <f t="shared" si="6"/>
        <v>41625.5247759009</v>
      </c>
      <c r="U14" s="217">
        <f t="shared" si="7"/>
        <v>74856.320000000007</v>
      </c>
      <c r="V14" s="218">
        <f t="shared" ref="V14:V31" si="8">(S14*14.0135)/12</f>
        <v>43708.293346666673</v>
      </c>
      <c r="W14" s="219">
        <f t="shared" ref="W14:W31" si="9">(S14*11)+T14+U14+V14</f>
        <v>571899.89812256768</v>
      </c>
      <c r="X14" s="219">
        <f t="shared" ref="X14:X31" si="10">((S14*11)+T14+V14)*0.1725</f>
        <v>85740.017226142896</v>
      </c>
      <c r="Y14" s="219">
        <f t="shared" ref="Y14:Y31" si="11">W14+X14</f>
        <v>657639.91534871061</v>
      </c>
    </row>
    <row r="15" spans="1:28" hidden="1">
      <c r="A15" s="208">
        <v>3</v>
      </c>
      <c r="B15" s="209" t="s">
        <v>237</v>
      </c>
      <c r="C15" s="210">
        <v>1</v>
      </c>
      <c r="D15" s="211">
        <v>7040</v>
      </c>
      <c r="E15" s="210">
        <v>3.05</v>
      </c>
      <c r="F15" s="211">
        <f t="shared" si="0"/>
        <v>21472</v>
      </c>
      <c r="G15" s="212">
        <v>0.05</v>
      </c>
      <c r="H15" s="211">
        <f t="shared" si="1"/>
        <v>1073.6000000000001</v>
      </c>
      <c r="I15" s="220"/>
      <c r="J15" s="212"/>
      <c r="K15" s="214"/>
      <c r="L15" s="212"/>
      <c r="M15" s="215"/>
      <c r="N15" s="212">
        <v>0.2</v>
      </c>
      <c r="O15" s="211">
        <f t="shared" si="2"/>
        <v>4294.4000000000005</v>
      </c>
      <c r="P15" s="216"/>
      <c r="Q15" s="217">
        <f t="shared" si="3"/>
        <v>0</v>
      </c>
      <c r="R15" s="211">
        <f t="shared" si="4"/>
        <v>26840</v>
      </c>
      <c r="S15" s="218">
        <f t="shared" si="5"/>
        <v>26840</v>
      </c>
      <c r="T15" s="218">
        <f t="shared" si="6"/>
        <v>29849.960163288284</v>
      </c>
      <c r="U15" s="217">
        <f t="shared" si="7"/>
        <v>53680</v>
      </c>
      <c r="V15" s="218">
        <f t="shared" si="8"/>
        <v>31343.528333333335</v>
      </c>
      <c r="W15" s="219">
        <f t="shared" si="9"/>
        <v>410113.48849662161</v>
      </c>
      <c r="X15" s="219">
        <f t="shared" si="10"/>
        <v>61484.776765667222</v>
      </c>
      <c r="Y15" s="219">
        <f t="shared" si="11"/>
        <v>471598.26526228886</v>
      </c>
    </row>
    <row r="16" spans="1:28" hidden="1">
      <c r="A16" s="208">
        <v>4</v>
      </c>
      <c r="B16" s="209" t="s">
        <v>238</v>
      </c>
      <c r="C16" s="210">
        <v>1</v>
      </c>
      <c r="D16" s="211">
        <v>7040</v>
      </c>
      <c r="E16" s="210">
        <v>3.18</v>
      </c>
      <c r="F16" s="211">
        <f t="shared" si="0"/>
        <v>22387.200000000001</v>
      </c>
      <c r="G16" s="212">
        <v>0.4</v>
      </c>
      <c r="H16" s="211">
        <f t="shared" si="1"/>
        <v>8954.880000000001</v>
      </c>
      <c r="I16" s="220"/>
      <c r="J16" s="212"/>
      <c r="K16" s="214"/>
      <c r="L16" s="212"/>
      <c r="M16" s="215"/>
      <c r="N16" s="212">
        <v>0.3</v>
      </c>
      <c r="O16" s="211">
        <f t="shared" si="2"/>
        <v>6716.16</v>
      </c>
      <c r="P16" s="216"/>
      <c r="Q16" s="217">
        <f t="shared" si="3"/>
        <v>0</v>
      </c>
      <c r="R16" s="211">
        <f t="shared" si="4"/>
        <v>38058.240000000005</v>
      </c>
      <c r="S16" s="218">
        <f t="shared" si="5"/>
        <v>38058.240000000005</v>
      </c>
      <c r="T16" s="218">
        <f t="shared" si="6"/>
        <v>42326.264824324331</v>
      </c>
      <c r="U16" s="217">
        <f t="shared" si="7"/>
        <v>76116.48000000001</v>
      </c>
      <c r="V16" s="218">
        <f t="shared" si="8"/>
        <v>44444.09552000001</v>
      </c>
      <c r="W16" s="219">
        <f t="shared" si="9"/>
        <v>581527.48034432437</v>
      </c>
      <c r="X16" s="219">
        <f t="shared" si="10"/>
        <v>87183.397559395962</v>
      </c>
      <c r="Y16" s="219">
        <f t="shared" si="11"/>
        <v>668710.87790372036</v>
      </c>
    </row>
    <row r="17" spans="1:25" hidden="1">
      <c r="A17" s="208">
        <v>5</v>
      </c>
      <c r="B17" s="209" t="s">
        <v>239</v>
      </c>
      <c r="C17" s="210">
        <v>1</v>
      </c>
      <c r="D17" s="211">
        <v>7040</v>
      </c>
      <c r="E17" s="210">
        <v>3.05</v>
      </c>
      <c r="F17" s="211">
        <f t="shared" si="0"/>
        <v>21472</v>
      </c>
      <c r="G17" s="212">
        <v>0.05</v>
      </c>
      <c r="H17" s="211">
        <f t="shared" si="1"/>
        <v>1073.6000000000001</v>
      </c>
      <c r="I17" s="220"/>
      <c r="J17" s="212"/>
      <c r="K17" s="214"/>
      <c r="L17" s="212"/>
      <c r="M17" s="215"/>
      <c r="N17" s="212">
        <v>0.3</v>
      </c>
      <c r="O17" s="211">
        <f t="shared" si="2"/>
        <v>6441.5999999999995</v>
      </c>
      <c r="P17" s="216"/>
      <c r="Q17" s="217">
        <f t="shared" si="3"/>
        <v>0</v>
      </c>
      <c r="R17" s="211">
        <f t="shared" si="4"/>
        <v>28987.199999999997</v>
      </c>
      <c r="S17" s="218">
        <f t="shared" si="5"/>
        <v>28987.199999999997</v>
      </c>
      <c r="T17" s="218">
        <f t="shared" si="6"/>
        <v>32237.956976351346</v>
      </c>
      <c r="U17" s="217">
        <f t="shared" si="7"/>
        <v>57974.399999999994</v>
      </c>
      <c r="V17" s="218">
        <f t="shared" si="8"/>
        <v>33851.010600000001</v>
      </c>
      <c r="W17" s="219">
        <f t="shared" si="9"/>
        <v>442922.56757635128</v>
      </c>
      <c r="X17" s="219">
        <f t="shared" si="10"/>
        <v>66403.558906920589</v>
      </c>
      <c r="Y17" s="219">
        <f t="shared" si="11"/>
        <v>509326.12648327189</v>
      </c>
    </row>
    <row r="18" spans="1:25" hidden="1">
      <c r="A18" s="208">
        <v>6</v>
      </c>
      <c r="B18" s="209" t="s">
        <v>240</v>
      </c>
      <c r="C18" s="210">
        <v>1</v>
      </c>
      <c r="D18" s="211">
        <v>7040</v>
      </c>
      <c r="E18" s="210">
        <v>2.5099999999999998</v>
      </c>
      <c r="F18" s="211">
        <f t="shared" si="0"/>
        <v>17670.399999999998</v>
      </c>
      <c r="G18" s="212">
        <v>0.2</v>
      </c>
      <c r="H18" s="211">
        <f t="shared" si="1"/>
        <v>3534.08</v>
      </c>
      <c r="I18" s="220"/>
      <c r="J18" s="212"/>
      <c r="K18" s="214"/>
      <c r="L18" s="212"/>
      <c r="M18" s="215"/>
      <c r="N18" s="212">
        <v>0.3</v>
      </c>
      <c r="O18" s="211">
        <f t="shared" si="2"/>
        <v>5301.119999999999</v>
      </c>
      <c r="P18" s="216"/>
      <c r="Q18" s="217">
        <f t="shared" si="3"/>
        <v>0</v>
      </c>
      <c r="R18" s="211">
        <f t="shared" si="4"/>
        <v>26505.599999999995</v>
      </c>
      <c r="S18" s="218">
        <f t="shared" si="5"/>
        <v>26505.599999999995</v>
      </c>
      <c r="T18" s="218">
        <f t="shared" si="6"/>
        <v>29478.059020270262</v>
      </c>
      <c r="U18" s="217">
        <f t="shared" si="7"/>
        <v>53011.19999999999</v>
      </c>
      <c r="V18" s="218">
        <f t="shared" si="8"/>
        <v>30953.018799999994</v>
      </c>
      <c r="W18" s="219">
        <f t="shared" si="9"/>
        <v>405003.87782027019</v>
      </c>
      <c r="X18" s="219">
        <f t="shared" si="10"/>
        <v>60718.736923996599</v>
      </c>
      <c r="Y18" s="219">
        <f t="shared" si="11"/>
        <v>465722.61474426679</v>
      </c>
    </row>
    <row r="19" spans="1:25" hidden="1">
      <c r="A19" s="208">
        <v>7</v>
      </c>
      <c r="B19" s="209" t="s">
        <v>241</v>
      </c>
      <c r="C19" s="210">
        <v>1</v>
      </c>
      <c r="D19" s="211">
        <v>7040</v>
      </c>
      <c r="E19" s="210">
        <v>2.5099999999999998</v>
      </c>
      <c r="F19" s="211">
        <f t="shared" si="0"/>
        <v>17670.399999999998</v>
      </c>
      <c r="G19" s="212">
        <v>0.25</v>
      </c>
      <c r="H19" s="211">
        <f t="shared" si="1"/>
        <v>4417.5999999999995</v>
      </c>
      <c r="I19" s="220"/>
      <c r="J19" s="212"/>
      <c r="K19" s="214"/>
      <c r="L19" s="212"/>
      <c r="M19" s="215"/>
      <c r="N19" s="212">
        <v>0.3</v>
      </c>
      <c r="O19" s="211">
        <f t="shared" si="2"/>
        <v>5301.119999999999</v>
      </c>
      <c r="P19" s="216"/>
      <c r="Q19" s="217">
        <f t="shared" si="3"/>
        <v>0</v>
      </c>
      <c r="R19" s="211">
        <f t="shared" si="4"/>
        <v>27389.119999999995</v>
      </c>
      <c r="S19" s="218">
        <f t="shared" si="5"/>
        <v>27389.119999999995</v>
      </c>
      <c r="T19" s="218">
        <f t="shared" si="6"/>
        <v>30460.660987612602</v>
      </c>
      <c r="U19" s="217">
        <f t="shared" si="7"/>
        <v>54778.239999999991</v>
      </c>
      <c r="V19" s="218">
        <f t="shared" si="8"/>
        <v>31984.786093333329</v>
      </c>
      <c r="W19" s="219">
        <f t="shared" si="9"/>
        <v>418504.00708094588</v>
      </c>
      <c r="X19" s="219">
        <f t="shared" si="10"/>
        <v>62742.694821463163</v>
      </c>
      <c r="Y19" s="219">
        <f t="shared" si="11"/>
        <v>481246.70190240903</v>
      </c>
    </row>
    <row r="20" spans="1:25" hidden="1">
      <c r="A20" s="208">
        <v>8</v>
      </c>
      <c r="B20" s="209" t="s">
        <v>242</v>
      </c>
      <c r="C20" s="210">
        <v>1</v>
      </c>
      <c r="D20" s="211">
        <v>7040</v>
      </c>
      <c r="E20" s="210">
        <v>1.8</v>
      </c>
      <c r="F20" s="211">
        <f t="shared" si="0"/>
        <v>12672</v>
      </c>
      <c r="G20" s="212">
        <v>0.2</v>
      </c>
      <c r="H20" s="211">
        <f t="shared" si="1"/>
        <v>2534.4</v>
      </c>
      <c r="I20" s="220"/>
      <c r="J20" s="212"/>
      <c r="K20" s="214"/>
      <c r="L20" s="212"/>
      <c r="M20" s="215"/>
      <c r="N20" s="212">
        <v>0.8</v>
      </c>
      <c r="O20" s="211">
        <f t="shared" si="2"/>
        <v>10137.6</v>
      </c>
      <c r="P20" s="216"/>
      <c r="Q20" s="217">
        <f t="shared" si="3"/>
        <v>0</v>
      </c>
      <c r="R20" s="211">
        <f t="shared" si="4"/>
        <v>25344</v>
      </c>
      <c r="S20" s="218">
        <f t="shared" si="5"/>
        <v>25344</v>
      </c>
      <c r="T20" s="218">
        <f t="shared" si="6"/>
        <v>28186.191891891893</v>
      </c>
      <c r="U20" s="217">
        <f t="shared" si="7"/>
        <v>50688</v>
      </c>
      <c r="V20" s="218">
        <f t="shared" si="8"/>
        <v>29596.512000000002</v>
      </c>
      <c r="W20" s="219">
        <f t="shared" si="9"/>
        <v>387254.70389189187</v>
      </c>
      <c r="X20" s="219">
        <f t="shared" si="10"/>
        <v>58057.75642135134</v>
      </c>
      <c r="Y20" s="219">
        <f t="shared" si="11"/>
        <v>445312.46031324321</v>
      </c>
    </row>
    <row r="21" spans="1:25" hidden="1">
      <c r="A21" s="208">
        <v>9</v>
      </c>
      <c r="B21" s="221" t="s">
        <v>243</v>
      </c>
      <c r="C21" s="210">
        <v>1</v>
      </c>
      <c r="D21" s="211">
        <v>7040</v>
      </c>
      <c r="E21" s="210">
        <v>1.8</v>
      </c>
      <c r="F21" s="211">
        <f t="shared" si="0"/>
        <v>12672</v>
      </c>
      <c r="G21" s="212">
        <v>0.15</v>
      </c>
      <c r="H21" s="211">
        <f t="shared" si="1"/>
        <v>1900.8</v>
      </c>
      <c r="I21" s="220"/>
      <c r="J21" s="212"/>
      <c r="K21" s="214"/>
      <c r="L21" s="212"/>
      <c r="M21" s="215"/>
      <c r="N21" s="212">
        <v>0.7</v>
      </c>
      <c r="O21" s="211">
        <f t="shared" si="2"/>
        <v>8870.4</v>
      </c>
      <c r="P21" s="216"/>
      <c r="Q21" s="217">
        <f t="shared" si="3"/>
        <v>0</v>
      </c>
      <c r="R21" s="211">
        <f t="shared" si="4"/>
        <v>23443.199999999997</v>
      </c>
      <c r="S21" s="218">
        <f t="shared" si="5"/>
        <v>23443.199999999997</v>
      </c>
      <c r="T21" s="218">
        <f t="shared" si="6"/>
        <v>26072.227499999997</v>
      </c>
      <c r="U21" s="217">
        <f t="shared" si="7"/>
        <v>46886.399999999994</v>
      </c>
      <c r="V21" s="218">
        <f t="shared" si="8"/>
        <v>27376.773599999997</v>
      </c>
      <c r="W21" s="219">
        <f t="shared" si="9"/>
        <v>358210.60109999991</v>
      </c>
      <c r="X21" s="219">
        <f t="shared" si="10"/>
        <v>53703.424689749983</v>
      </c>
      <c r="Y21" s="219">
        <f t="shared" si="11"/>
        <v>411914.02578974993</v>
      </c>
    </row>
    <row r="22" spans="1:25" hidden="1">
      <c r="A22" s="208">
        <v>10</v>
      </c>
      <c r="B22" s="221" t="s">
        <v>244</v>
      </c>
      <c r="C22" s="210">
        <v>1</v>
      </c>
      <c r="D22" s="211">
        <v>7040</v>
      </c>
      <c r="E22" s="210">
        <v>1.8</v>
      </c>
      <c r="F22" s="211">
        <f t="shared" si="0"/>
        <v>12672</v>
      </c>
      <c r="G22" s="212">
        <v>0.15</v>
      </c>
      <c r="H22" s="211">
        <f t="shared" si="1"/>
        <v>1900.8</v>
      </c>
      <c r="I22" s="220"/>
      <c r="J22" s="220"/>
      <c r="K22" s="220"/>
      <c r="L22" s="212"/>
      <c r="M22" s="215"/>
      <c r="N22" s="212">
        <v>0.7</v>
      </c>
      <c r="O22" s="211">
        <f t="shared" si="2"/>
        <v>8870.4</v>
      </c>
      <c r="P22" s="216"/>
      <c r="Q22" s="217">
        <f t="shared" si="3"/>
        <v>0</v>
      </c>
      <c r="R22" s="211">
        <f t="shared" si="4"/>
        <v>23443.199999999997</v>
      </c>
      <c r="S22" s="218">
        <f t="shared" si="5"/>
        <v>23443.199999999997</v>
      </c>
      <c r="T22" s="218">
        <f t="shared" si="6"/>
        <v>26072.227499999997</v>
      </c>
      <c r="U22" s="217">
        <f t="shared" si="7"/>
        <v>46886.399999999994</v>
      </c>
      <c r="V22" s="218">
        <f t="shared" si="8"/>
        <v>27376.773599999997</v>
      </c>
      <c r="W22" s="219">
        <f t="shared" si="9"/>
        <v>358210.60109999991</v>
      </c>
      <c r="X22" s="219">
        <f t="shared" si="10"/>
        <v>53703.424689749983</v>
      </c>
      <c r="Y22" s="219">
        <f t="shared" si="11"/>
        <v>411914.02578974993</v>
      </c>
    </row>
    <row r="23" spans="1:25" hidden="1">
      <c r="A23" s="208">
        <v>11</v>
      </c>
      <c r="B23" s="209" t="s">
        <v>245</v>
      </c>
      <c r="C23" s="210">
        <v>1</v>
      </c>
      <c r="D23" s="211">
        <v>7040</v>
      </c>
      <c r="E23" s="210">
        <v>1.8</v>
      </c>
      <c r="F23" s="211">
        <f t="shared" si="0"/>
        <v>12672</v>
      </c>
      <c r="G23" s="212">
        <v>0.4</v>
      </c>
      <c r="H23" s="211">
        <f t="shared" si="1"/>
        <v>5068.8</v>
      </c>
      <c r="I23" s="220"/>
      <c r="J23" s="220"/>
      <c r="K23" s="220"/>
      <c r="L23" s="212"/>
      <c r="M23" s="215"/>
      <c r="N23" s="212">
        <v>0.4</v>
      </c>
      <c r="O23" s="211">
        <f t="shared" si="2"/>
        <v>5068.8</v>
      </c>
      <c r="P23" s="216"/>
      <c r="Q23" s="217">
        <f t="shared" si="3"/>
        <v>0</v>
      </c>
      <c r="R23" s="211">
        <f t="shared" si="4"/>
        <v>22809.599999999999</v>
      </c>
      <c r="S23" s="218">
        <f t="shared" si="5"/>
        <v>22809.599999999999</v>
      </c>
      <c r="T23" s="218">
        <f t="shared" si="6"/>
        <v>25367.572702702699</v>
      </c>
      <c r="U23" s="217">
        <f t="shared" si="7"/>
        <v>45619.199999999997</v>
      </c>
      <c r="V23" s="218">
        <f t="shared" si="8"/>
        <v>26636.860799999999</v>
      </c>
      <c r="W23" s="219">
        <f t="shared" si="9"/>
        <v>348529.23350270273</v>
      </c>
      <c r="X23" s="219">
        <f t="shared" si="10"/>
        <v>52251.980779216217</v>
      </c>
      <c r="Y23" s="219">
        <f t="shared" si="11"/>
        <v>400781.21428191895</v>
      </c>
    </row>
    <row r="24" spans="1:25" hidden="1">
      <c r="A24" s="208">
        <v>12</v>
      </c>
      <c r="B24" s="209" t="s">
        <v>246</v>
      </c>
      <c r="C24" s="210">
        <v>1</v>
      </c>
      <c r="D24" s="211">
        <v>7040</v>
      </c>
      <c r="E24" s="210">
        <v>1.8</v>
      </c>
      <c r="F24" s="211">
        <f t="shared" si="0"/>
        <v>12672</v>
      </c>
      <c r="G24" s="212">
        <v>0.05</v>
      </c>
      <c r="H24" s="211">
        <f t="shared" si="1"/>
        <v>633.6</v>
      </c>
      <c r="I24" s="220"/>
      <c r="J24" s="212"/>
      <c r="K24" s="214"/>
      <c r="L24" s="212"/>
      <c r="M24" s="215"/>
      <c r="N24" s="212">
        <v>0.7</v>
      </c>
      <c r="O24" s="211">
        <f t="shared" si="2"/>
        <v>8870.4</v>
      </c>
      <c r="P24" s="216"/>
      <c r="Q24" s="217">
        <f t="shared" si="3"/>
        <v>0</v>
      </c>
      <c r="R24" s="211">
        <f t="shared" si="4"/>
        <v>22176</v>
      </c>
      <c r="S24" s="218">
        <f t="shared" si="5"/>
        <v>22176</v>
      </c>
      <c r="T24" s="218">
        <f t="shared" si="6"/>
        <v>24662.917905405408</v>
      </c>
      <c r="U24" s="217">
        <f t="shared" si="7"/>
        <v>44352</v>
      </c>
      <c r="V24" s="218">
        <f t="shared" si="8"/>
        <v>25896.948</v>
      </c>
      <c r="W24" s="219">
        <f t="shared" si="9"/>
        <v>338847.86590540537</v>
      </c>
      <c r="X24" s="219">
        <f t="shared" si="10"/>
        <v>50800.536868682422</v>
      </c>
      <c r="Y24" s="219">
        <f t="shared" si="11"/>
        <v>389648.40277408779</v>
      </c>
    </row>
    <row r="25" spans="1:25" hidden="1">
      <c r="A25" s="208">
        <v>13</v>
      </c>
      <c r="B25" s="209" t="s">
        <v>247</v>
      </c>
      <c r="C25" s="210">
        <v>1</v>
      </c>
      <c r="D25" s="211">
        <v>7040</v>
      </c>
      <c r="E25" s="210">
        <v>1.8</v>
      </c>
      <c r="F25" s="211">
        <f t="shared" si="0"/>
        <v>12672</v>
      </c>
      <c r="G25" s="212">
        <v>0.4</v>
      </c>
      <c r="H25" s="211">
        <f t="shared" si="1"/>
        <v>5068.8</v>
      </c>
      <c r="I25" s="220"/>
      <c r="J25" s="220"/>
      <c r="K25" s="220"/>
      <c r="L25" s="212"/>
      <c r="M25" s="215"/>
      <c r="N25" s="212">
        <v>0.4</v>
      </c>
      <c r="O25" s="211">
        <f t="shared" si="2"/>
        <v>5068.8</v>
      </c>
      <c r="P25" s="216"/>
      <c r="Q25" s="217">
        <f t="shared" si="3"/>
        <v>0</v>
      </c>
      <c r="R25" s="211">
        <f t="shared" si="4"/>
        <v>22809.599999999999</v>
      </c>
      <c r="S25" s="218">
        <f t="shared" si="5"/>
        <v>22809.599999999999</v>
      </c>
      <c r="T25" s="218">
        <f t="shared" si="6"/>
        <v>25367.572702702699</v>
      </c>
      <c r="U25" s="217">
        <f t="shared" si="7"/>
        <v>45619.199999999997</v>
      </c>
      <c r="V25" s="218">
        <f t="shared" si="8"/>
        <v>26636.860799999999</v>
      </c>
      <c r="W25" s="219">
        <f t="shared" si="9"/>
        <v>348529.23350270273</v>
      </c>
      <c r="X25" s="219">
        <f t="shared" si="10"/>
        <v>52251.980779216217</v>
      </c>
      <c r="Y25" s="219">
        <f t="shared" si="11"/>
        <v>400781.21428191895</v>
      </c>
    </row>
    <row r="26" spans="1:25" hidden="1">
      <c r="A26" s="208">
        <v>14</v>
      </c>
      <c r="B26" s="209" t="s">
        <v>248</v>
      </c>
      <c r="C26" s="210">
        <v>1</v>
      </c>
      <c r="D26" s="211">
        <v>7040</v>
      </c>
      <c r="E26" s="210">
        <v>2.29</v>
      </c>
      <c r="F26" s="211">
        <f t="shared" si="0"/>
        <v>16121.6</v>
      </c>
      <c r="G26" s="212">
        <v>0.25</v>
      </c>
      <c r="H26" s="211">
        <f t="shared" si="1"/>
        <v>4030.4</v>
      </c>
      <c r="I26" s="220"/>
      <c r="J26" s="220"/>
      <c r="K26" s="220"/>
      <c r="L26" s="212"/>
      <c r="M26" s="215"/>
      <c r="N26" s="212">
        <v>0.35</v>
      </c>
      <c r="O26" s="211">
        <f t="shared" si="2"/>
        <v>5642.5599999999995</v>
      </c>
      <c r="P26" s="216"/>
      <c r="Q26" s="217">
        <f t="shared" si="3"/>
        <v>0</v>
      </c>
      <c r="R26" s="211">
        <f t="shared" si="4"/>
        <v>25794.559999999998</v>
      </c>
      <c r="S26" s="218">
        <f t="shared" si="5"/>
        <v>25794.559999999998</v>
      </c>
      <c r="T26" s="218">
        <f t="shared" si="6"/>
        <v>28687.279747747743</v>
      </c>
      <c r="U26" s="217">
        <f t="shared" si="7"/>
        <v>51589.119999999995</v>
      </c>
      <c r="V26" s="218">
        <f t="shared" si="8"/>
        <v>30122.672213333335</v>
      </c>
      <c r="W26" s="219">
        <f t="shared" si="9"/>
        <v>394139.23196108104</v>
      </c>
      <c r="X26" s="219">
        <f t="shared" si="10"/>
        <v>59089.894313286473</v>
      </c>
      <c r="Y26" s="219">
        <f t="shared" si="11"/>
        <v>453229.1262743675</v>
      </c>
    </row>
    <row r="27" spans="1:25" hidden="1">
      <c r="A27" s="208">
        <v>15</v>
      </c>
      <c r="B27" s="209" t="s">
        <v>249</v>
      </c>
      <c r="C27" s="210">
        <v>1</v>
      </c>
      <c r="D27" s="211">
        <v>7040</v>
      </c>
      <c r="E27" s="210">
        <v>2.29</v>
      </c>
      <c r="F27" s="211">
        <f t="shared" si="0"/>
        <v>16121.6</v>
      </c>
      <c r="G27" s="212">
        <v>0.15</v>
      </c>
      <c r="H27" s="211">
        <f t="shared" si="1"/>
        <v>2418.2399999999998</v>
      </c>
      <c r="I27" s="220"/>
      <c r="J27" s="220"/>
      <c r="K27" s="220"/>
      <c r="L27" s="212"/>
      <c r="M27" s="215"/>
      <c r="N27" s="212">
        <v>0.3</v>
      </c>
      <c r="O27" s="211">
        <f t="shared" si="2"/>
        <v>4836.4799999999996</v>
      </c>
      <c r="P27" s="216"/>
      <c r="Q27" s="217">
        <f t="shared" si="3"/>
        <v>0</v>
      </c>
      <c r="R27" s="211">
        <f t="shared" si="4"/>
        <v>23376.32</v>
      </c>
      <c r="S27" s="218">
        <f t="shared" si="5"/>
        <v>23376.32</v>
      </c>
      <c r="T27" s="218">
        <f t="shared" si="6"/>
        <v>25997.847271396393</v>
      </c>
      <c r="U27" s="217">
        <f t="shared" si="7"/>
        <v>46752.639999999999</v>
      </c>
      <c r="V27" s="218">
        <f t="shared" si="8"/>
        <v>27298.671693333334</v>
      </c>
      <c r="W27" s="219">
        <f t="shared" si="9"/>
        <v>357188.67896472971</v>
      </c>
      <c r="X27" s="219">
        <f t="shared" si="10"/>
        <v>53550.216721415869</v>
      </c>
      <c r="Y27" s="219">
        <f t="shared" si="11"/>
        <v>410738.89568614558</v>
      </c>
    </row>
    <row r="28" spans="1:25" hidden="1">
      <c r="A28" s="208">
        <v>16</v>
      </c>
      <c r="B28" s="209" t="s">
        <v>250</v>
      </c>
      <c r="C28" s="210">
        <v>1</v>
      </c>
      <c r="D28" s="211">
        <v>7040</v>
      </c>
      <c r="E28" s="210">
        <v>2.06</v>
      </c>
      <c r="F28" s="211">
        <f t="shared" si="0"/>
        <v>14502.4</v>
      </c>
      <c r="G28" s="212">
        <v>0.4</v>
      </c>
      <c r="H28" s="211">
        <f t="shared" si="1"/>
        <v>5800.96</v>
      </c>
      <c r="I28" s="220"/>
      <c r="J28" s="212"/>
      <c r="K28" s="214"/>
      <c r="L28" s="212"/>
      <c r="M28" s="215"/>
      <c r="N28" s="212">
        <v>0.3</v>
      </c>
      <c r="O28" s="211">
        <f t="shared" si="2"/>
        <v>4350.7199999999993</v>
      </c>
      <c r="P28" s="216"/>
      <c r="Q28" s="217">
        <f t="shared" si="3"/>
        <v>0</v>
      </c>
      <c r="R28" s="211">
        <f t="shared" si="4"/>
        <v>24654.080000000002</v>
      </c>
      <c r="S28" s="218">
        <f t="shared" si="5"/>
        <v>24654.080000000002</v>
      </c>
      <c r="T28" s="218">
        <f t="shared" si="6"/>
        <v>27418.901112612613</v>
      </c>
      <c r="U28" s="217">
        <f t="shared" si="7"/>
        <v>49308.160000000003</v>
      </c>
      <c r="V28" s="218">
        <f t="shared" si="8"/>
        <v>28790.829173333335</v>
      </c>
      <c r="W28" s="219">
        <f t="shared" si="9"/>
        <v>376712.77028594597</v>
      </c>
      <c r="X28" s="219">
        <f t="shared" si="10"/>
        <v>56477.295274325683</v>
      </c>
      <c r="Y28" s="219">
        <f t="shared" si="11"/>
        <v>433190.06556027167</v>
      </c>
    </row>
    <row r="29" spans="1:25" hidden="1">
      <c r="A29" s="208">
        <v>17</v>
      </c>
      <c r="B29" s="222" t="s">
        <v>251</v>
      </c>
      <c r="C29" s="210">
        <v>1</v>
      </c>
      <c r="D29" s="211">
        <v>7040</v>
      </c>
      <c r="E29" s="223">
        <v>1.8</v>
      </c>
      <c r="F29" s="211">
        <f t="shared" si="0"/>
        <v>12672</v>
      </c>
      <c r="G29" s="212">
        <v>0.05</v>
      </c>
      <c r="H29" s="211">
        <f t="shared" si="1"/>
        <v>633.6</v>
      </c>
      <c r="I29" s="220"/>
      <c r="J29" s="220"/>
      <c r="K29" s="220"/>
      <c r="L29" s="212"/>
      <c r="M29" s="215"/>
      <c r="N29" s="212">
        <v>0.9</v>
      </c>
      <c r="O29" s="211">
        <f t="shared" ref="O29:O31" si="12">F29*N29</f>
        <v>11404.800000000001</v>
      </c>
      <c r="P29" s="216"/>
      <c r="Q29" s="217"/>
      <c r="R29" s="211">
        <f>+F29+H29+I29+M29+O29+Q29</f>
        <v>24710.400000000001</v>
      </c>
      <c r="S29" s="218">
        <f t="shared" si="5"/>
        <v>24710.400000000001</v>
      </c>
      <c r="T29" s="218">
        <f t="shared" si="6"/>
        <v>27481.537094594591</v>
      </c>
      <c r="U29" s="217">
        <f t="shared" si="7"/>
        <v>49420.800000000003</v>
      </c>
      <c r="V29" s="218">
        <f t="shared" si="8"/>
        <v>28856.599200000001</v>
      </c>
      <c r="W29" s="219">
        <f t="shared" si="9"/>
        <v>377573.33629459457</v>
      </c>
      <c r="X29" s="219">
        <f t="shared" si="10"/>
        <v>56606.312510817559</v>
      </c>
      <c r="Y29" s="219">
        <f t="shared" si="11"/>
        <v>434179.64880541211</v>
      </c>
    </row>
    <row r="30" spans="1:25" hidden="1">
      <c r="A30" s="208">
        <v>18</v>
      </c>
      <c r="B30" s="222" t="s">
        <v>252</v>
      </c>
      <c r="C30" s="210">
        <v>1</v>
      </c>
      <c r="D30" s="211">
        <v>7040</v>
      </c>
      <c r="E30" s="223">
        <v>1.8</v>
      </c>
      <c r="F30" s="211">
        <f t="shared" si="0"/>
        <v>12672</v>
      </c>
      <c r="G30" s="212">
        <v>0.05</v>
      </c>
      <c r="H30" s="211">
        <f t="shared" si="1"/>
        <v>633.6</v>
      </c>
      <c r="I30" s="220"/>
      <c r="J30" s="220"/>
      <c r="K30" s="220"/>
      <c r="L30" s="212"/>
      <c r="M30" s="215"/>
      <c r="N30" s="212">
        <v>0.9</v>
      </c>
      <c r="O30" s="211">
        <f t="shared" si="12"/>
        <v>11404.800000000001</v>
      </c>
      <c r="P30" s="216"/>
      <c r="Q30" s="217"/>
      <c r="R30" s="211">
        <f>+F30+H30+I30+M30+O30+Q30</f>
        <v>24710.400000000001</v>
      </c>
      <c r="S30" s="218">
        <f t="shared" si="5"/>
        <v>24710.400000000001</v>
      </c>
      <c r="T30" s="218">
        <f t="shared" si="6"/>
        <v>27481.537094594591</v>
      </c>
      <c r="U30" s="217">
        <f t="shared" si="7"/>
        <v>49420.800000000003</v>
      </c>
      <c r="V30" s="218">
        <f t="shared" si="8"/>
        <v>28856.599200000001</v>
      </c>
      <c r="W30" s="219">
        <f t="shared" si="9"/>
        <v>377573.33629459457</v>
      </c>
      <c r="X30" s="219">
        <f t="shared" si="10"/>
        <v>56606.312510817559</v>
      </c>
      <c r="Y30" s="219">
        <f t="shared" si="11"/>
        <v>434179.64880541211</v>
      </c>
    </row>
    <row r="31" spans="1:25" hidden="1">
      <c r="A31" s="208">
        <v>19</v>
      </c>
      <c r="B31" s="222" t="s">
        <v>253</v>
      </c>
      <c r="C31" s="210">
        <v>1</v>
      </c>
      <c r="D31" s="211">
        <v>7040</v>
      </c>
      <c r="E31" s="223">
        <v>1.8</v>
      </c>
      <c r="F31" s="211">
        <f t="shared" si="0"/>
        <v>12672</v>
      </c>
      <c r="G31" s="212">
        <v>0.05</v>
      </c>
      <c r="H31" s="211">
        <f t="shared" si="1"/>
        <v>633.6</v>
      </c>
      <c r="I31" s="220"/>
      <c r="J31" s="220"/>
      <c r="K31" s="220"/>
      <c r="L31" s="212"/>
      <c r="M31" s="215"/>
      <c r="N31" s="212">
        <v>0.7</v>
      </c>
      <c r="O31" s="211">
        <f t="shared" si="12"/>
        <v>8870.4</v>
      </c>
      <c r="P31" s="216"/>
      <c r="Q31" s="217"/>
      <c r="R31" s="211">
        <f>+F31+H31+I31+M31+O31+Q31</f>
        <v>22176</v>
      </c>
      <c r="S31" s="218">
        <f t="shared" si="5"/>
        <v>22176</v>
      </c>
      <c r="T31" s="218">
        <f t="shared" si="6"/>
        <v>24662.917905405408</v>
      </c>
      <c r="U31" s="217">
        <f t="shared" si="7"/>
        <v>44352</v>
      </c>
      <c r="V31" s="218">
        <f t="shared" si="8"/>
        <v>25896.948</v>
      </c>
      <c r="W31" s="219">
        <f t="shared" si="9"/>
        <v>338847.86590540537</v>
      </c>
      <c r="X31" s="219">
        <f t="shared" si="10"/>
        <v>50800.536868682422</v>
      </c>
      <c r="Y31" s="219">
        <f t="shared" si="11"/>
        <v>389648.40277408779</v>
      </c>
    </row>
    <row r="32" spans="1:25" hidden="1">
      <c r="A32" s="207"/>
      <c r="B32" s="207" t="s">
        <v>254</v>
      </c>
      <c r="C32" s="224">
        <f>SUM(C13:C31)</f>
        <v>19</v>
      </c>
      <c r="D32" s="225">
        <f t="shared" ref="D32" si="13">SUM(D13:D31)</f>
        <v>133760</v>
      </c>
      <c r="E32" s="224"/>
      <c r="F32" s="225">
        <f t="shared" ref="F32" si="14">SUM(F13:F31)</f>
        <v>313772.79999999999</v>
      </c>
      <c r="G32" s="224"/>
      <c r="H32" s="225">
        <f t="shared" ref="H32:M32" si="15">SUM(H13:H31)</f>
        <v>63588.800000000003</v>
      </c>
      <c r="I32" s="224">
        <f t="shared" si="15"/>
        <v>0</v>
      </c>
      <c r="J32" s="224">
        <f t="shared" si="15"/>
        <v>0</v>
      </c>
      <c r="K32" s="224">
        <f t="shared" si="15"/>
        <v>0</v>
      </c>
      <c r="L32" s="224">
        <f t="shared" si="15"/>
        <v>0</v>
      </c>
      <c r="M32" s="224">
        <f t="shared" si="15"/>
        <v>0</v>
      </c>
      <c r="N32" s="224"/>
      <c r="O32" s="225">
        <f t="shared" ref="O32:Y32" si="16">SUM(O13:O31)</f>
        <v>139758.07999999999</v>
      </c>
      <c r="P32" s="224">
        <f t="shared" si="16"/>
        <v>0</v>
      </c>
      <c r="Q32" s="225">
        <f t="shared" si="16"/>
        <v>0</v>
      </c>
      <c r="R32" s="225">
        <f t="shared" si="16"/>
        <v>517119.68000000005</v>
      </c>
      <c r="S32" s="225">
        <f t="shared" si="16"/>
        <v>517119.68000000005</v>
      </c>
      <c r="T32" s="225">
        <f t="shared" si="16"/>
        <v>575111.8423119369</v>
      </c>
      <c r="U32" s="225">
        <f t="shared" si="16"/>
        <v>1034239.3600000001</v>
      </c>
      <c r="V32" s="225">
        <f t="shared" si="16"/>
        <v>603888.0529733334</v>
      </c>
      <c r="W32" s="225">
        <f t="shared" si="16"/>
        <v>7901555.7352852682</v>
      </c>
      <c r="X32" s="225">
        <f t="shared" si="16"/>
        <v>1184612.0747367088</v>
      </c>
      <c r="Y32" s="225">
        <f t="shared" si="16"/>
        <v>9086167.8100219797</v>
      </c>
    </row>
    <row r="33" spans="1:25" hidden="1">
      <c r="A33" s="208">
        <v>20</v>
      </c>
      <c r="B33" s="226" t="s">
        <v>255</v>
      </c>
      <c r="C33" s="210">
        <v>1</v>
      </c>
      <c r="D33" s="211">
        <v>7040</v>
      </c>
      <c r="E33" s="210">
        <v>1.8</v>
      </c>
      <c r="F33" s="211">
        <f t="shared" ref="F33:F41" si="17">+D33*E33</f>
        <v>12672</v>
      </c>
      <c r="G33" s="212"/>
      <c r="H33" s="211"/>
      <c r="I33" s="220"/>
      <c r="J33" s="212"/>
      <c r="K33" s="214">
        <f>F33*J33</f>
        <v>0</v>
      </c>
      <c r="L33" s="212"/>
      <c r="M33" s="215"/>
      <c r="N33" s="212"/>
      <c r="O33" s="211">
        <f>3800+2000</f>
        <v>5800</v>
      </c>
      <c r="P33" s="216"/>
      <c r="Q33" s="217">
        <f>F33*P33</f>
        <v>0</v>
      </c>
      <c r="R33" s="211">
        <f t="shared" ref="R33:R41" si="18">+F33+H33+I33+M33+O33+Q33</f>
        <v>18472</v>
      </c>
      <c r="S33" s="218">
        <f t="shared" ref="S33:S43" si="19">R33*C33</f>
        <v>18472</v>
      </c>
      <c r="T33" s="218">
        <f t="shared" ref="T33:T41" si="20">(((S33+(S33*14.0135/12/12)))*3/3/29.6)*30</f>
        <v>20543.534431306307</v>
      </c>
      <c r="U33" s="217">
        <f t="shared" ref="U33:U41" si="21">S33*2</f>
        <v>36944</v>
      </c>
      <c r="V33" s="218">
        <f t="shared" ref="V33:V41" si="22">(S33*14.0135)/12</f>
        <v>21571.447666666667</v>
      </c>
      <c r="W33" s="219">
        <f t="shared" ref="W33:W41" si="23">(S33*11)+T33+U33+V33</f>
        <v>282250.98209797294</v>
      </c>
      <c r="X33" s="219">
        <f t="shared" ref="X33:X41" si="24">((S33*11)+T33+V33)*0.1725</f>
        <v>42315.454411900333</v>
      </c>
      <c r="Y33" s="219">
        <f t="shared" ref="Y33:Y41" si="25">W33+X33</f>
        <v>324566.43650987325</v>
      </c>
    </row>
    <row r="34" spans="1:25" hidden="1">
      <c r="A34" s="208">
        <v>21</v>
      </c>
      <c r="B34" s="226" t="s">
        <v>256</v>
      </c>
      <c r="C34" s="210">
        <v>1</v>
      </c>
      <c r="D34" s="211">
        <v>7040</v>
      </c>
      <c r="E34" s="227">
        <v>1.8</v>
      </c>
      <c r="F34" s="211">
        <f t="shared" si="17"/>
        <v>12672</v>
      </c>
      <c r="G34" s="212"/>
      <c r="H34" s="211"/>
      <c r="I34" s="220"/>
      <c r="J34" s="220"/>
      <c r="K34" s="220"/>
      <c r="L34" s="212"/>
      <c r="M34" s="215"/>
      <c r="N34" s="212"/>
      <c r="O34" s="211">
        <f>2500+2000</f>
        <v>4500</v>
      </c>
      <c r="P34" s="216"/>
      <c r="Q34" s="217">
        <f>F34*P34</f>
        <v>0</v>
      </c>
      <c r="R34" s="211">
        <f t="shared" si="18"/>
        <v>17172</v>
      </c>
      <c r="S34" s="218">
        <f t="shared" si="19"/>
        <v>17172</v>
      </c>
      <c r="T34" s="218">
        <f t="shared" si="20"/>
        <v>19097.746494932435</v>
      </c>
      <c r="U34" s="217">
        <f t="shared" si="21"/>
        <v>34344</v>
      </c>
      <c r="V34" s="218">
        <f t="shared" si="22"/>
        <v>20053.318500000001</v>
      </c>
      <c r="W34" s="219">
        <f t="shared" si="23"/>
        <v>262387.06499493244</v>
      </c>
      <c r="X34" s="219">
        <f t="shared" si="24"/>
        <v>39337.428711625842</v>
      </c>
      <c r="Y34" s="219">
        <f t="shared" si="25"/>
        <v>301724.49370655831</v>
      </c>
    </row>
    <row r="35" spans="1:25" hidden="1">
      <c r="A35" s="208">
        <v>21</v>
      </c>
      <c r="B35" s="226" t="s">
        <v>257</v>
      </c>
      <c r="C35" s="210">
        <v>1</v>
      </c>
      <c r="D35" s="211">
        <v>7040</v>
      </c>
      <c r="E35" s="227">
        <v>1</v>
      </c>
      <c r="F35" s="211">
        <f t="shared" si="17"/>
        <v>7040</v>
      </c>
      <c r="G35" s="212"/>
      <c r="H35" s="211"/>
      <c r="I35" s="220"/>
      <c r="J35" s="220"/>
      <c r="K35" s="220"/>
      <c r="L35" s="212"/>
      <c r="M35" s="215"/>
      <c r="N35" s="212"/>
      <c r="O35" s="211">
        <f>3000+1000</f>
        <v>4000</v>
      </c>
      <c r="P35" s="212">
        <v>0.25</v>
      </c>
      <c r="Q35" s="217">
        <f>F35*P35</f>
        <v>1760</v>
      </c>
      <c r="R35" s="211">
        <f t="shared" si="18"/>
        <v>12800</v>
      </c>
      <c r="S35" s="218">
        <f t="shared" si="19"/>
        <v>12800</v>
      </c>
      <c r="T35" s="218">
        <f t="shared" si="20"/>
        <v>14235.450450450449</v>
      </c>
      <c r="U35" s="217">
        <f t="shared" si="21"/>
        <v>25600</v>
      </c>
      <c r="V35" s="218">
        <f t="shared" si="22"/>
        <v>14947.733333333335</v>
      </c>
      <c r="W35" s="219">
        <f t="shared" si="23"/>
        <v>195583.18378378378</v>
      </c>
      <c r="X35" s="219">
        <f t="shared" si="24"/>
        <v>29322.099202702699</v>
      </c>
      <c r="Y35" s="219">
        <f t="shared" si="25"/>
        <v>224905.28298648648</v>
      </c>
    </row>
    <row r="36" spans="1:25">
      <c r="A36" s="208">
        <v>1</v>
      </c>
      <c r="B36" s="226" t="s">
        <v>258</v>
      </c>
      <c r="C36" s="210">
        <v>4</v>
      </c>
      <c r="D36" s="211">
        <v>7040</v>
      </c>
      <c r="E36" s="227">
        <v>1.6</v>
      </c>
      <c r="F36" s="211">
        <f t="shared" si="17"/>
        <v>11264</v>
      </c>
      <c r="G36" s="212"/>
      <c r="H36" s="211"/>
      <c r="I36" s="220"/>
      <c r="J36" s="220"/>
      <c r="K36" s="220"/>
      <c r="L36" s="212"/>
      <c r="M36" s="215"/>
      <c r="N36" s="212"/>
      <c r="O36" s="211">
        <f>16000+4500</f>
        <v>20500</v>
      </c>
      <c r="P36" s="212"/>
      <c r="Q36" s="217"/>
      <c r="R36" s="211">
        <f t="shared" si="18"/>
        <v>31764</v>
      </c>
      <c r="S36" s="218">
        <f>R36*C36</f>
        <v>127056</v>
      </c>
      <c r="T36" s="218"/>
      <c r="U36" s="217"/>
      <c r="V36" s="218">
        <f t="shared" si="22"/>
        <v>148374.93799999999</v>
      </c>
      <c r="W36" s="219">
        <f>(S36*6)+T36+U36+V36</f>
        <v>910710.93799999997</v>
      </c>
      <c r="X36" s="219">
        <f>((S36*9)+T36+V36)*0.1725</f>
        <v>222849.116805</v>
      </c>
      <c r="Y36" s="219">
        <f t="shared" si="25"/>
        <v>1133560.0548049998</v>
      </c>
    </row>
    <row r="37" spans="1:25" hidden="1">
      <c r="A37" s="208">
        <v>24</v>
      </c>
      <c r="B37" s="226" t="s">
        <v>259</v>
      </c>
      <c r="C37" s="210">
        <v>2</v>
      </c>
      <c r="D37" s="211">
        <v>7040</v>
      </c>
      <c r="E37" s="223">
        <v>1.6</v>
      </c>
      <c r="F37" s="211">
        <f t="shared" si="17"/>
        <v>11264</v>
      </c>
      <c r="G37" s="228"/>
      <c r="H37" s="211"/>
      <c r="I37" s="228"/>
      <c r="J37" s="228"/>
      <c r="K37" s="228"/>
      <c r="L37" s="212"/>
      <c r="M37" s="215"/>
      <c r="N37" s="212"/>
      <c r="O37" s="211">
        <f>16000+2000</f>
        <v>18000</v>
      </c>
      <c r="P37" s="212"/>
      <c r="Q37" s="217"/>
      <c r="R37" s="211">
        <f t="shared" si="18"/>
        <v>29264</v>
      </c>
      <c r="S37" s="218">
        <f t="shared" si="19"/>
        <v>58528</v>
      </c>
      <c r="T37" s="218"/>
      <c r="U37" s="217"/>
      <c r="V37" s="218">
        <f t="shared" si="22"/>
        <v>68348.510666666669</v>
      </c>
      <c r="W37" s="219">
        <f t="shared" si="23"/>
        <v>712156.51066666667</v>
      </c>
      <c r="X37" s="219">
        <f t="shared" si="24"/>
        <v>122846.99808999999</v>
      </c>
      <c r="Y37" s="219">
        <f t="shared" si="25"/>
        <v>835003.50875666668</v>
      </c>
    </row>
    <row r="38" spans="1:25" hidden="1">
      <c r="A38" s="208">
        <v>25</v>
      </c>
      <c r="B38" s="229" t="s">
        <v>260</v>
      </c>
      <c r="C38" s="210">
        <v>1</v>
      </c>
      <c r="D38" s="211">
        <v>7040</v>
      </c>
      <c r="E38" s="223">
        <v>1.1399999999999999</v>
      </c>
      <c r="F38" s="211">
        <f t="shared" si="17"/>
        <v>8025.5999999999995</v>
      </c>
      <c r="G38" s="212"/>
      <c r="H38" s="211"/>
      <c r="I38" s="220"/>
      <c r="J38" s="220"/>
      <c r="K38" s="220"/>
      <c r="L38" s="212"/>
      <c r="M38" s="215"/>
      <c r="N38" s="212"/>
      <c r="O38" s="211">
        <f>12000+3000</f>
        <v>15000</v>
      </c>
      <c r="P38" s="212"/>
      <c r="Q38" s="217"/>
      <c r="R38" s="211">
        <f t="shared" si="18"/>
        <v>23025.599999999999</v>
      </c>
      <c r="S38" s="218">
        <f t="shared" si="19"/>
        <v>23025.599999999999</v>
      </c>
      <c r="T38" s="218"/>
      <c r="U38" s="217"/>
      <c r="V38" s="218">
        <f t="shared" si="22"/>
        <v>26889.103799999997</v>
      </c>
      <c r="W38" s="219">
        <f t="shared" si="23"/>
        <v>280170.70379999996</v>
      </c>
      <c r="X38" s="219">
        <f t="shared" si="24"/>
        <v>48329.446405499992</v>
      </c>
      <c r="Y38" s="219">
        <f t="shared" si="25"/>
        <v>328500.15020549996</v>
      </c>
    </row>
    <row r="39" spans="1:25" hidden="1">
      <c r="A39" s="208">
        <v>26</v>
      </c>
      <c r="B39" s="229" t="s">
        <v>261</v>
      </c>
      <c r="C39" s="210">
        <v>1</v>
      </c>
      <c r="D39" s="211">
        <v>7040</v>
      </c>
      <c r="E39" s="223">
        <v>1.1399999999999999</v>
      </c>
      <c r="F39" s="211">
        <f t="shared" si="17"/>
        <v>8025.5999999999995</v>
      </c>
      <c r="G39" s="212"/>
      <c r="H39" s="211"/>
      <c r="I39" s="220"/>
      <c r="J39" s="220"/>
      <c r="K39" s="220"/>
      <c r="L39" s="212"/>
      <c r="M39" s="215"/>
      <c r="N39" s="212"/>
      <c r="O39" s="211">
        <f>19000+2000</f>
        <v>21000</v>
      </c>
      <c r="P39" s="212"/>
      <c r="Q39" s="217"/>
      <c r="R39" s="211">
        <f t="shared" si="18"/>
        <v>29025.599999999999</v>
      </c>
      <c r="S39" s="218">
        <f t="shared" si="19"/>
        <v>29025.599999999999</v>
      </c>
      <c r="T39" s="218"/>
      <c r="U39" s="217"/>
      <c r="V39" s="218">
        <f t="shared" si="22"/>
        <v>33895.853799999997</v>
      </c>
      <c r="W39" s="219">
        <f t="shared" si="23"/>
        <v>353177.45379999996</v>
      </c>
      <c r="X39" s="219">
        <f t="shared" si="24"/>
        <v>60923.110780499985</v>
      </c>
      <c r="Y39" s="219">
        <f t="shared" si="25"/>
        <v>414100.56458049995</v>
      </c>
    </row>
    <row r="40" spans="1:25">
      <c r="A40" s="208">
        <v>2</v>
      </c>
      <c r="B40" s="229" t="s">
        <v>262</v>
      </c>
      <c r="C40" s="210">
        <v>4</v>
      </c>
      <c r="D40" s="211">
        <v>7040</v>
      </c>
      <c r="E40" s="223">
        <v>1</v>
      </c>
      <c r="F40" s="211">
        <f t="shared" si="17"/>
        <v>7040</v>
      </c>
      <c r="G40" s="212"/>
      <c r="H40" s="211"/>
      <c r="I40" s="220"/>
      <c r="J40" s="220"/>
      <c r="K40" s="220"/>
      <c r="L40" s="212"/>
      <c r="M40" s="215"/>
      <c r="N40" s="212"/>
      <c r="O40" s="211">
        <f>19000+5000</f>
        <v>24000</v>
      </c>
      <c r="P40" s="212"/>
      <c r="Q40" s="217"/>
      <c r="R40" s="211">
        <f t="shared" si="18"/>
        <v>31040</v>
      </c>
      <c r="S40" s="218">
        <f t="shared" si="19"/>
        <v>124160</v>
      </c>
      <c r="T40" s="218"/>
      <c r="U40" s="217"/>
      <c r="V40" s="218">
        <f t="shared" si="22"/>
        <v>144993.01333333334</v>
      </c>
      <c r="W40" s="219">
        <f>(S40*6)+T40+U40+V40</f>
        <v>889953.01333333331</v>
      </c>
      <c r="X40" s="219">
        <f>((S40*6)+T40+V40)*0.1725</f>
        <v>153516.89479999998</v>
      </c>
      <c r="Y40" s="219">
        <f t="shared" si="25"/>
        <v>1043469.9081333333</v>
      </c>
    </row>
    <row r="41" spans="1:25" hidden="1">
      <c r="A41" s="208">
        <v>29</v>
      </c>
      <c r="B41" s="229" t="s">
        <v>263</v>
      </c>
      <c r="C41" s="210">
        <v>5</v>
      </c>
      <c r="D41" s="211">
        <v>7040</v>
      </c>
      <c r="E41" s="223">
        <v>1</v>
      </c>
      <c r="F41" s="211">
        <f t="shared" si="17"/>
        <v>7040</v>
      </c>
      <c r="G41" s="212"/>
      <c r="H41" s="211"/>
      <c r="I41" s="220"/>
      <c r="J41" s="220"/>
      <c r="K41" s="220"/>
      <c r="L41" s="212"/>
      <c r="M41" s="215"/>
      <c r="N41" s="212">
        <v>0.3</v>
      </c>
      <c r="O41" s="211">
        <f>F41*N41+2000</f>
        <v>4112</v>
      </c>
      <c r="P41" s="212">
        <v>0.5</v>
      </c>
      <c r="Q41" s="217">
        <f>SUM(P41*F41)</f>
        <v>3520</v>
      </c>
      <c r="R41" s="211">
        <f t="shared" si="18"/>
        <v>14672</v>
      </c>
      <c r="S41" s="218">
        <f t="shared" si="19"/>
        <v>73360</v>
      </c>
      <c r="T41" s="218">
        <f t="shared" si="20"/>
        <v>81586.925394144142</v>
      </c>
      <c r="U41" s="217">
        <f t="shared" si="21"/>
        <v>146720</v>
      </c>
      <c r="V41" s="218">
        <f t="shared" si="22"/>
        <v>85669.19666666667</v>
      </c>
      <c r="W41" s="219">
        <f t="shared" si="23"/>
        <v>1120936.1220608109</v>
      </c>
      <c r="X41" s="219">
        <f t="shared" si="24"/>
        <v>168052.28105548985</v>
      </c>
      <c r="Y41" s="219">
        <f t="shared" si="25"/>
        <v>1288988.4031163007</v>
      </c>
    </row>
    <row r="42" spans="1:25">
      <c r="A42" s="207"/>
      <c r="B42" s="207" t="s">
        <v>264</v>
      </c>
      <c r="C42" s="230">
        <f>C36+C40</f>
        <v>8</v>
      </c>
      <c r="D42" s="230">
        <f t="shared" ref="D42:Y42" si="26">D36+D40</f>
        <v>14080</v>
      </c>
      <c r="E42" s="230">
        <f t="shared" si="26"/>
        <v>2.6</v>
      </c>
      <c r="F42" s="230">
        <f t="shared" si="26"/>
        <v>18304</v>
      </c>
      <c r="G42" s="230">
        <f t="shared" si="26"/>
        <v>0</v>
      </c>
      <c r="H42" s="230">
        <f t="shared" si="26"/>
        <v>0</v>
      </c>
      <c r="I42" s="230">
        <f t="shared" si="26"/>
        <v>0</v>
      </c>
      <c r="J42" s="230">
        <f t="shared" si="26"/>
        <v>0</v>
      </c>
      <c r="K42" s="230">
        <f t="shared" si="26"/>
        <v>0</v>
      </c>
      <c r="L42" s="230">
        <f t="shared" si="26"/>
        <v>0</v>
      </c>
      <c r="M42" s="230">
        <f t="shared" si="26"/>
        <v>0</v>
      </c>
      <c r="N42" s="230">
        <f t="shared" si="26"/>
        <v>0</v>
      </c>
      <c r="O42" s="230">
        <f t="shared" si="26"/>
        <v>44500</v>
      </c>
      <c r="P42" s="230">
        <f t="shared" si="26"/>
        <v>0</v>
      </c>
      <c r="Q42" s="230">
        <f t="shared" si="26"/>
        <v>0</v>
      </c>
      <c r="R42" s="230">
        <f t="shared" si="26"/>
        <v>62804</v>
      </c>
      <c r="S42" s="230">
        <f t="shared" si="26"/>
        <v>251216</v>
      </c>
      <c r="T42" s="224">
        <f t="shared" si="26"/>
        <v>0</v>
      </c>
      <c r="U42" s="230">
        <f t="shared" si="26"/>
        <v>0</v>
      </c>
      <c r="V42" s="224">
        <f t="shared" si="26"/>
        <v>293367.95133333333</v>
      </c>
      <c r="W42" s="230">
        <f t="shared" si="26"/>
        <v>1800663.9513333333</v>
      </c>
      <c r="X42" s="224">
        <f t="shared" si="26"/>
        <v>376366.01160500001</v>
      </c>
      <c r="Y42" s="224">
        <f t="shared" si="26"/>
        <v>2177029.9629383329</v>
      </c>
    </row>
    <row r="43" spans="1:25">
      <c r="A43" s="208">
        <v>3</v>
      </c>
      <c r="B43" s="226" t="s">
        <v>265</v>
      </c>
      <c r="C43" s="210">
        <v>3</v>
      </c>
      <c r="D43" s="217"/>
      <c r="E43" s="223"/>
      <c r="F43" s="217">
        <f>+D43*E43</f>
        <v>0</v>
      </c>
      <c r="G43" s="212"/>
      <c r="H43" s="217"/>
      <c r="I43" s="220"/>
      <c r="J43" s="212"/>
      <c r="K43" s="214"/>
      <c r="L43" s="212"/>
      <c r="M43" s="215"/>
      <c r="N43" s="212"/>
      <c r="O43" s="217">
        <f>+F43*N43</f>
        <v>0</v>
      </c>
      <c r="P43" s="216"/>
      <c r="Q43" s="217">
        <f>F43*P43</f>
        <v>0</v>
      </c>
      <c r="R43" s="217">
        <v>39020</v>
      </c>
      <c r="S43" s="218">
        <f t="shared" si="19"/>
        <v>117060</v>
      </c>
      <c r="T43" s="217"/>
      <c r="U43" s="217"/>
      <c r="V43" s="217"/>
      <c r="W43" s="219">
        <f>(S43*6)+T43+U43+V43</f>
        <v>702360</v>
      </c>
      <c r="X43" s="219">
        <f>((S43*6)+T43+V43)*0.1725</f>
        <v>121157.09999999999</v>
      </c>
      <c r="Y43" s="219">
        <f>W43+X43</f>
        <v>823517.1</v>
      </c>
    </row>
    <row r="44" spans="1:25">
      <c r="A44" s="207"/>
      <c r="B44" s="207" t="s">
        <v>266</v>
      </c>
      <c r="C44" s="230">
        <f>SUM(C43:C43)</f>
        <v>3</v>
      </c>
      <c r="D44" s="225">
        <f>SUM(D43:D43)</f>
        <v>0</v>
      </c>
      <c r="E44" s="231"/>
      <c r="F44" s="225">
        <f t="shared" ref="F44:Y44" si="27">SUM(F43:F43)</f>
        <v>0</v>
      </c>
      <c r="G44" s="230">
        <f t="shared" si="27"/>
        <v>0</v>
      </c>
      <c r="H44" s="225">
        <f t="shared" si="27"/>
        <v>0</v>
      </c>
      <c r="I44" s="230">
        <f t="shared" si="27"/>
        <v>0</v>
      </c>
      <c r="J44" s="230">
        <f t="shared" si="27"/>
        <v>0</v>
      </c>
      <c r="K44" s="230">
        <f t="shared" si="27"/>
        <v>0</v>
      </c>
      <c r="L44" s="230">
        <f t="shared" si="27"/>
        <v>0</v>
      </c>
      <c r="M44" s="230">
        <f t="shared" si="27"/>
        <v>0</v>
      </c>
      <c r="N44" s="230">
        <f t="shared" si="27"/>
        <v>0</v>
      </c>
      <c r="O44" s="225">
        <f t="shared" si="27"/>
        <v>0</v>
      </c>
      <c r="P44" s="224">
        <f t="shared" si="27"/>
        <v>0</v>
      </c>
      <c r="Q44" s="225">
        <f t="shared" si="27"/>
        <v>0</v>
      </c>
      <c r="R44" s="225">
        <f t="shared" si="27"/>
        <v>39020</v>
      </c>
      <c r="S44" s="225">
        <f t="shared" si="27"/>
        <v>117060</v>
      </c>
      <c r="T44" s="225">
        <f t="shared" si="27"/>
        <v>0</v>
      </c>
      <c r="U44" s="225">
        <f t="shared" si="27"/>
        <v>0</v>
      </c>
      <c r="V44" s="225">
        <f t="shared" si="27"/>
        <v>0</v>
      </c>
      <c r="W44" s="225">
        <f t="shared" si="27"/>
        <v>702360</v>
      </c>
      <c r="X44" s="225">
        <f t="shared" si="27"/>
        <v>121157.09999999999</v>
      </c>
      <c r="Y44" s="225">
        <f t="shared" si="27"/>
        <v>823517.1</v>
      </c>
    </row>
    <row r="45" spans="1:25">
      <c r="A45" s="232"/>
      <c r="B45" s="233" t="s">
        <v>267</v>
      </c>
      <c r="C45" s="234">
        <f>C42+C44</f>
        <v>11</v>
      </c>
      <c r="D45" s="234">
        <f t="shared" ref="D45:Y45" si="28">D42+D44</f>
        <v>14080</v>
      </c>
      <c r="E45" s="234">
        <f t="shared" si="28"/>
        <v>2.6</v>
      </c>
      <c r="F45" s="234">
        <f t="shared" si="28"/>
        <v>18304</v>
      </c>
      <c r="G45" s="234">
        <f t="shared" si="28"/>
        <v>0</v>
      </c>
      <c r="H45" s="234">
        <f t="shared" si="28"/>
        <v>0</v>
      </c>
      <c r="I45" s="234">
        <f t="shared" si="28"/>
        <v>0</v>
      </c>
      <c r="J45" s="234">
        <f t="shared" si="28"/>
        <v>0</v>
      </c>
      <c r="K45" s="234">
        <f t="shared" si="28"/>
        <v>0</v>
      </c>
      <c r="L45" s="234">
        <f t="shared" si="28"/>
        <v>0</v>
      </c>
      <c r="M45" s="234">
        <f t="shared" si="28"/>
        <v>0</v>
      </c>
      <c r="N45" s="234">
        <f t="shared" si="28"/>
        <v>0</v>
      </c>
      <c r="O45" s="234">
        <f t="shared" si="28"/>
        <v>44500</v>
      </c>
      <c r="P45" s="234">
        <f t="shared" si="28"/>
        <v>0</v>
      </c>
      <c r="Q45" s="234">
        <f t="shared" si="28"/>
        <v>0</v>
      </c>
      <c r="R45" s="234">
        <f t="shared" si="28"/>
        <v>101824</v>
      </c>
      <c r="S45" s="234">
        <f t="shared" si="28"/>
        <v>368276</v>
      </c>
      <c r="T45" s="234">
        <f t="shared" si="28"/>
        <v>0</v>
      </c>
      <c r="U45" s="234">
        <f t="shared" si="28"/>
        <v>0</v>
      </c>
      <c r="V45" s="234">
        <f t="shared" si="28"/>
        <v>293367.95133333333</v>
      </c>
      <c r="W45" s="234">
        <f t="shared" si="28"/>
        <v>2503023.9513333333</v>
      </c>
      <c r="X45" s="234">
        <f t="shared" si="28"/>
        <v>497523.11160499998</v>
      </c>
      <c r="Y45" s="234">
        <f t="shared" si="28"/>
        <v>3000547.062938333</v>
      </c>
    </row>
    <row r="47" spans="1:25">
      <c r="B47" s="24"/>
      <c r="S47" s="235"/>
      <c r="W47" s="236"/>
      <c r="X47" s="236"/>
      <c r="Y47" s="236"/>
    </row>
    <row r="48" spans="1:25">
      <c r="B48" s="24"/>
      <c r="D48" s="79" t="s">
        <v>210</v>
      </c>
      <c r="R48" s="79" t="s">
        <v>209</v>
      </c>
      <c r="S48" s="235"/>
      <c r="W48" s="236"/>
      <c r="X48" s="236"/>
      <c r="Y48" s="237"/>
    </row>
    <row r="49" spans="2:25">
      <c r="B49" s="24"/>
      <c r="S49" s="235"/>
      <c r="V49" s="238"/>
      <c r="W49" s="239"/>
      <c r="X49" s="239"/>
      <c r="Y49" s="239"/>
    </row>
    <row r="50" spans="2:25">
      <c r="B50" s="24"/>
      <c r="S50" s="235"/>
      <c r="W50" s="236"/>
      <c r="X50" s="236"/>
      <c r="Y50" s="235"/>
    </row>
  </sheetData>
  <mergeCells count="21">
    <mergeCell ref="G10:H10"/>
    <mergeCell ref="J10:K10"/>
    <mergeCell ref="L10:M10"/>
    <mergeCell ref="N10:O10"/>
    <mergeCell ref="P10:Q10"/>
    <mergeCell ref="A7:Y7"/>
    <mergeCell ref="T9:T10"/>
    <mergeCell ref="U9:U10"/>
    <mergeCell ref="V9:V10"/>
    <mergeCell ref="W9:W10"/>
    <mergeCell ref="X9:X10"/>
    <mergeCell ref="Y9:Y10"/>
    <mergeCell ref="A9:A11"/>
    <mergeCell ref="B9:B11"/>
    <mergeCell ref="C9:C11"/>
    <mergeCell ref="D9:D11"/>
    <mergeCell ref="E9:E11"/>
    <mergeCell ref="F9:F11"/>
    <mergeCell ref="G9:Q9"/>
    <mergeCell ref="R9:R10"/>
    <mergeCell ref="S9:S10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Т1 киреше бөлүгү</vt:lpstr>
      <vt:lpstr>Т2 чыгаша бөлүгү бюджет</vt:lpstr>
      <vt:lpstr>Т2а чыгаша бөлүгү атайын эсеп</vt:lpstr>
      <vt:lpstr>Т3 Тазалык</vt:lpstr>
      <vt:lpstr>'Т1 киреше бөлүгү'!Заголовки_для_печати</vt:lpstr>
      <vt:lpstr>'Т2 чыгаша бөлүгү бюджет'!Заголовки_для_печати</vt:lpstr>
      <vt:lpstr>'Т2 чыгаша бөлүгү бюджет'!Область_печати</vt:lpstr>
      <vt:lpstr>'Т2а чыгаша бөлүгү атайын эсеп'!Область_печати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2025-06-03T10:00:18Z</cp:lastPrinted>
  <dcterms:created xsi:type="dcterms:W3CDTF">2024-05-22T09:56:18Z</dcterms:created>
  <dcterms:modified xsi:type="dcterms:W3CDTF">2025-06-03T10:00:51Z</dcterms:modified>
</cp:coreProperties>
</file>