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емирова\Downloads\"/>
    </mc:Choice>
  </mc:AlternateContent>
  <bookViews>
    <workbookView xWindow="0" yWindow="0" windowWidth="21600" windowHeight="9735" activeTab="5"/>
  </bookViews>
  <sheets>
    <sheet name="Т 1" sheetId="1" r:id="rId1"/>
    <sheet name="Т2" sheetId="2" r:id="rId2"/>
    <sheet name="Т2а" sheetId="3" r:id="rId3"/>
    <sheet name="Т3" sheetId="4" r:id="rId4"/>
    <sheet name="Т4" sheetId="5" r:id="rId5"/>
    <sheet name="Т4а" sheetId="6" r:id="rId6"/>
  </sheets>
  <externalReferences>
    <externalReference r:id="rId7"/>
    <externalReference r:id="rId8"/>
    <externalReference r:id="rId9"/>
  </externalReferences>
  <definedNames>
    <definedName name="_xlnm.Print_Titles" localSheetId="0">'Т 1'!$9:$11</definedName>
    <definedName name="_xlnm.Print_Titles" localSheetId="1">Т2!$9:$10</definedName>
    <definedName name="об" localSheetId="0">[1]объяс.Iполугод.!#REF!</definedName>
    <definedName name="об" localSheetId="5">[1]объяс.Iполугод.!#REF!</definedName>
    <definedName name="об">[1]объяс.Iполугод.!#REF!</definedName>
    <definedName name="_xlnm.Print_Area" localSheetId="1">Т2!$A$1:$AC$64</definedName>
    <definedName name="ололо" localSheetId="0">[2]объяс.Iполугод.!#REF!</definedName>
    <definedName name="ололо" localSheetId="5">[2]объяс.Iполугод.!#REF!</definedName>
    <definedName name="ололо">[2]объяс.Iполугод.!#REF!</definedName>
  </definedNames>
  <calcPr calcId="191029"/>
</workbook>
</file>

<file path=xl/calcChain.xml><?xml version="1.0" encoding="utf-8"?>
<calcChain xmlns="http://schemas.openxmlformats.org/spreadsheetml/2006/main">
  <c r="C26" i="6" l="1"/>
  <c r="C24" i="6"/>
  <c r="C20" i="6"/>
  <c r="C15" i="6"/>
  <c r="C12" i="6"/>
  <c r="C27" i="6" s="1"/>
  <c r="D15" i="5"/>
  <c r="D13" i="5"/>
  <c r="D16" i="5" s="1"/>
  <c r="F57" i="4"/>
  <c r="E57" i="4"/>
  <c r="D57" i="4"/>
  <c r="C57" i="4"/>
  <c r="F50" i="4"/>
  <c r="F53" i="4" s="1"/>
  <c r="E50" i="4"/>
  <c r="D50" i="4"/>
  <c r="D53" i="4" s="1"/>
  <c r="C50" i="4"/>
  <c r="E49" i="4"/>
  <c r="E53" i="4" s="1"/>
  <c r="C49" i="4"/>
  <c r="C53" i="4" s="1"/>
  <c r="F47" i="4"/>
  <c r="E47" i="4"/>
  <c r="D47" i="4"/>
  <c r="C47" i="4"/>
  <c r="E39" i="4"/>
  <c r="C39" i="4"/>
  <c r="F36" i="4"/>
  <c r="F39" i="4" s="1"/>
  <c r="D36" i="4"/>
  <c r="D39" i="4" s="1"/>
  <c r="E32" i="4"/>
  <c r="C32" i="4"/>
  <c r="E31" i="4"/>
  <c r="E33" i="4" s="1"/>
  <c r="C31" i="4"/>
  <c r="C33" i="4" s="1"/>
  <c r="F29" i="4"/>
  <c r="F33" i="4" s="1"/>
  <c r="D29" i="4"/>
  <c r="D33" i="4" s="1"/>
  <c r="F24" i="4"/>
  <c r="E24" i="4"/>
  <c r="D24" i="4"/>
  <c r="C24" i="4"/>
  <c r="F21" i="4"/>
  <c r="E21" i="4"/>
  <c r="D21" i="4"/>
  <c r="C21" i="4"/>
  <c r="C35" i="3"/>
  <c r="AA34" i="3"/>
  <c r="Z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Y32" i="3"/>
  <c r="Y34" i="3" s="1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C30" i="3" s="1"/>
  <c r="F30" i="3"/>
  <c r="E30" i="3"/>
  <c r="D30" i="3"/>
  <c r="C29" i="3"/>
  <c r="C28" i="3"/>
  <c r="C27" i="3"/>
  <c r="C26" i="3"/>
  <c r="Z25" i="3"/>
  <c r="X25" i="3"/>
  <c r="U25" i="3"/>
  <c r="T25" i="3"/>
  <c r="S25" i="3"/>
  <c r="R25" i="3"/>
  <c r="Q25" i="3"/>
  <c r="P25" i="3"/>
  <c r="O25" i="3"/>
  <c r="N25" i="3"/>
  <c r="M25" i="3"/>
  <c r="L25" i="3"/>
  <c r="J25" i="3"/>
  <c r="I25" i="3"/>
  <c r="H25" i="3"/>
  <c r="G25" i="3"/>
  <c r="F25" i="3"/>
  <c r="E25" i="3"/>
  <c r="D25" i="3"/>
  <c r="Y24" i="3"/>
  <c r="C24" i="3" s="1"/>
  <c r="W23" i="3"/>
  <c r="W25" i="3" s="1"/>
  <c r="K23" i="3"/>
  <c r="K25" i="3" s="1"/>
  <c r="C22" i="3"/>
  <c r="C21" i="3"/>
  <c r="Z19" i="3"/>
  <c r="Y19" i="3"/>
  <c r="X19" i="3"/>
  <c r="W19" i="3"/>
  <c r="U19" i="3"/>
  <c r="T19" i="3"/>
  <c r="S19" i="3"/>
  <c r="R19" i="3"/>
  <c r="Q19" i="3"/>
  <c r="Q12" i="3" s="1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AA19" i="3" s="1"/>
  <c r="C18" i="3"/>
  <c r="C19" i="3" s="1"/>
  <c r="AA16" i="3"/>
  <c r="Z16" i="3"/>
  <c r="Z12" i="3" s="1"/>
  <c r="Y16" i="3"/>
  <c r="X16" i="3"/>
  <c r="X12" i="3" s="1"/>
  <c r="W16" i="3"/>
  <c r="V16" i="3"/>
  <c r="V12" i="3" s="1"/>
  <c r="U16" i="3"/>
  <c r="T16" i="3"/>
  <c r="S16" i="3"/>
  <c r="R16" i="3"/>
  <c r="R12" i="3" s="1"/>
  <c r="Q16" i="3"/>
  <c r="P16" i="3"/>
  <c r="O16" i="3"/>
  <c r="O12" i="3" s="1"/>
  <c r="N16" i="3"/>
  <c r="M16" i="3"/>
  <c r="M12" i="3" s="1"/>
  <c r="L16" i="3"/>
  <c r="L12" i="3" s="1"/>
  <c r="K16" i="3"/>
  <c r="J16" i="3"/>
  <c r="I16" i="3"/>
  <c r="H16" i="3"/>
  <c r="H12" i="3" s="1"/>
  <c r="G16" i="3"/>
  <c r="F16" i="3"/>
  <c r="F12" i="3" s="1"/>
  <c r="E16" i="3"/>
  <c r="D16" i="3"/>
  <c r="C15" i="3"/>
  <c r="C14" i="3"/>
  <c r="C16" i="3" s="1"/>
  <c r="U12" i="3"/>
  <c r="S12" i="3"/>
  <c r="I12" i="3"/>
  <c r="G12" i="3"/>
  <c r="E12" i="3"/>
  <c r="AC60" i="2"/>
  <c r="AB60" i="2"/>
  <c r="AA60" i="2"/>
  <c r="Z60" i="2"/>
  <c r="Y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C59" i="2"/>
  <c r="X58" i="2"/>
  <c r="X60" i="2" s="1"/>
  <c r="E58" i="2"/>
  <c r="D58" i="2"/>
  <c r="D60" i="2" s="1"/>
  <c r="C57" i="2"/>
  <c r="AC55" i="2"/>
  <c r="AB55" i="2"/>
  <c r="Z55" i="2"/>
  <c r="Y55" i="2"/>
  <c r="X55" i="2"/>
  <c r="W55" i="2"/>
  <c r="V55" i="2"/>
  <c r="T55" i="2"/>
  <c r="S55" i="2"/>
  <c r="Q55" i="2"/>
  <c r="P55" i="2"/>
  <c r="M55" i="2"/>
  <c r="L55" i="2"/>
  <c r="J55" i="2"/>
  <c r="I55" i="2"/>
  <c r="H55" i="2"/>
  <c r="G55" i="2"/>
  <c r="F55" i="2"/>
  <c r="E55" i="2"/>
  <c r="D55" i="2"/>
  <c r="C54" i="2"/>
  <c r="X53" i="2"/>
  <c r="C53" i="2"/>
  <c r="AA52" i="2"/>
  <c r="U52" i="2"/>
  <c r="O52" i="2"/>
  <c r="O55" i="2" s="1"/>
  <c r="N52" i="2"/>
  <c r="AA51" i="2"/>
  <c r="U51" i="2"/>
  <c r="R51" i="2"/>
  <c r="R55" i="2" s="1"/>
  <c r="N51" i="2"/>
  <c r="K51" i="2"/>
  <c r="K55" i="2" s="1"/>
  <c r="AC49" i="2"/>
  <c r="AB49" i="2"/>
  <c r="Z49" i="2"/>
  <c r="Y49" i="2"/>
  <c r="X49" i="2"/>
  <c r="W49" i="2"/>
  <c r="V49" i="2"/>
  <c r="U49" i="2"/>
  <c r="T49" i="2"/>
  <c r="S49" i="2"/>
  <c r="R49" i="2"/>
  <c r="Q49" i="2"/>
  <c r="O49" i="2"/>
  <c r="N49" i="2"/>
  <c r="M49" i="2"/>
  <c r="L49" i="2"/>
  <c r="K49" i="2"/>
  <c r="J49" i="2"/>
  <c r="H49" i="2"/>
  <c r="G49" i="2"/>
  <c r="F49" i="2"/>
  <c r="E49" i="2"/>
  <c r="D49" i="2"/>
  <c r="C48" i="2"/>
  <c r="C47" i="2"/>
  <c r="C46" i="2"/>
  <c r="AA45" i="2"/>
  <c r="C45" i="2" s="1"/>
  <c r="C44" i="2"/>
  <c r="AA43" i="2"/>
  <c r="P43" i="2"/>
  <c r="P49" i="2" s="1"/>
  <c r="I43" i="2"/>
  <c r="I49" i="2" s="1"/>
  <c r="Y41" i="2"/>
  <c r="X41" i="2"/>
  <c r="W41" i="2"/>
  <c r="V41" i="2"/>
  <c r="U41" i="2"/>
  <c r="S41" i="2"/>
  <c r="Q41" i="2"/>
  <c r="P41" i="2"/>
  <c r="N41" i="2"/>
  <c r="M41" i="2"/>
  <c r="L41" i="2"/>
  <c r="J41" i="2"/>
  <c r="I41" i="2"/>
  <c r="H41" i="2"/>
  <c r="G41" i="2"/>
  <c r="F41" i="2"/>
  <c r="C40" i="2"/>
  <c r="AC39" i="2"/>
  <c r="AC41" i="2" s="1"/>
  <c r="K39" i="2"/>
  <c r="AA38" i="2"/>
  <c r="T38" i="2"/>
  <c r="T41" i="2" s="1"/>
  <c r="R38" i="2"/>
  <c r="R41" i="2" s="1"/>
  <c r="K38" i="2"/>
  <c r="C37" i="2"/>
  <c r="AB36" i="2"/>
  <c r="AB41" i="2" s="1"/>
  <c r="E36" i="2"/>
  <c r="E41" i="2" s="1"/>
  <c r="D36" i="2"/>
  <c r="C36" i="2" s="1"/>
  <c r="AA35" i="2"/>
  <c r="Z35" i="2"/>
  <c r="O35" i="2"/>
  <c r="O41" i="2" s="1"/>
  <c r="K35" i="2"/>
  <c r="AC34" i="2"/>
  <c r="AB34" i="2"/>
  <c r="AA34" i="2"/>
  <c r="Y34" i="2"/>
  <c r="X34" i="2"/>
  <c r="W34" i="2"/>
  <c r="V34" i="2"/>
  <c r="U34" i="2"/>
  <c r="T34" i="2"/>
  <c r="S34" i="2"/>
  <c r="R34" i="2"/>
  <c r="Q34" i="2"/>
  <c r="P34" i="2"/>
  <c r="N34" i="2"/>
  <c r="M34" i="2"/>
  <c r="L34" i="2"/>
  <c r="K34" i="2"/>
  <c r="J34" i="2"/>
  <c r="I34" i="2"/>
  <c r="H34" i="2"/>
  <c r="G34" i="2"/>
  <c r="F34" i="2"/>
  <c r="E34" i="2"/>
  <c r="D34" i="2"/>
  <c r="Z33" i="2"/>
  <c r="C33" i="2" s="1"/>
  <c r="C32" i="2"/>
  <c r="C31" i="2"/>
  <c r="C30" i="2"/>
  <c r="Z29" i="2"/>
  <c r="C29" i="2" s="1"/>
  <c r="O28" i="2"/>
  <c r="O34" i="2" s="1"/>
  <c r="C28" i="2"/>
  <c r="AC26" i="2"/>
  <c r="AB26" i="2"/>
  <c r="AA26" i="2"/>
  <c r="Z26" i="2"/>
  <c r="Y26" i="2"/>
  <c r="X26" i="2"/>
  <c r="V26" i="2"/>
  <c r="U26" i="2"/>
  <c r="T26" i="2"/>
  <c r="S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5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2" i="2"/>
  <c r="AC20" i="2"/>
  <c r="AB20" i="2"/>
  <c r="AA20" i="2"/>
  <c r="Z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J20" i="2"/>
  <c r="H20" i="2"/>
  <c r="G20" i="2"/>
  <c r="F20" i="2"/>
  <c r="C19" i="2"/>
  <c r="C18" i="2"/>
  <c r="C17" i="2"/>
  <c r="C16" i="2"/>
  <c r="I15" i="2"/>
  <c r="I20" i="2" s="1"/>
  <c r="Y14" i="2"/>
  <c r="Y13" i="2"/>
  <c r="K13" i="2"/>
  <c r="K20" i="2" s="1"/>
  <c r="E13" i="2"/>
  <c r="E20" i="2" s="1"/>
  <c r="D13" i="2"/>
  <c r="D20" i="2" s="1"/>
  <c r="M66" i="1"/>
  <c r="K66" i="1"/>
  <c r="I66" i="1"/>
  <c r="H66" i="1"/>
  <c r="F66" i="1"/>
  <c r="E66" i="1"/>
  <c r="N64" i="1"/>
  <c r="L64" i="1"/>
  <c r="J64" i="1"/>
  <c r="N63" i="1"/>
  <c r="L63" i="1"/>
  <c r="J63" i="1"/>
  <c r="G63" i="1"/>
  <c r="N60" i="1"/>
  <c r="L60" i="1"/>
  <c r="J60" i="1"/>
  <c r="G60" i="1"/>
  <c r="G66" i="1" s="1"/>
  <c r="G54" i="1"/>
  <c r="N45" i="1"/>
  <c r="L45" i="1"/>
  <c r="J45" i="1"/>
  <c r="N44" i="1"/>
  <c r="L44" i="1"/>
  <c r="J44" i="1"/>
  <c r="J43" i="1"/>
  <c r="J42" i="1" s="1"/>
  <c r="N42" i="1"/>
  <c r="L42" i="1"/>
  <c r="N40" i="1"/>
  <c r="N38" i="1" s="1"/>
  <c r="L40" i="1"/>
  <c r="J40" i="1"/>
  <c r="J38" i="1" s="1"/>
  <c r="L38" i="1"/>
  <c r="G38" i="1"/>
  <c r="J37" i="1"/>
  <c r="G36" i="1"/>
  <c r="F36" i="1"/>
  <c r="N35" i="1"/>
  <c r="L35" i="1"/>
  <c r="J35" i="1"/>
  <c r="H35" i="1"/>
  <c r="H31" i="1" s="1"/>
  <c r="H57" i="1" s="1"/>
  <c r="E35" i="1"/>
  <c r="N34" i="1"/>
  <c r="L34" i="1"/>
  <c r="L31" i="1" s="1"/>
  <c r="L57" i="1" s="1"/>
  <c r="J34" i="1"/>
  <c r="J31" i="1" s="1"/>
  <c r="J57" i="1" s="1"/>
  <c r="H34" i="1"/>
  <c r="E34" i="1"/>
  <c r="N33" i="1"/>
  <c r="L33" i="1"/>
  <c r="J33" i="1"/>
  <c r="H33" i="1"/>
  <c r="G33" i="1"/>
  <c r="G31" i="1" s="1"/>
  <c r="G57" i="1" s="1"/>
  <c r="F33" i="1"/>
  <c r="F31" i="1" s="1"/>
  <c r="F57" i="1" s="1"/>
  <c r="E33" i="1"/>
  <c r="J32" i="1"/>
  <c r="H32" i="1"/>
  <c r="E32" i="1"/>
  <c r="N31" i="1"/>
  <c r="N57" i="1" s="1"/>
  <c r="M31" i="1"/>
  <c r="M57" i="1" s="1"/>
  <c r="K31" i="1"/>
  <c r="K57" i="1" s="1"/>
  <c r="I31" i="1"/>
  <c r="I57" i="1" s="1"/>
  <c r="N29" i="1"/>
  <c r="M29" i="1"/>
  <c r="L29" i="1"/>
  <c r="K29" i="1"/>
  <c r="I29" i="1"/>
  <c r="J23" i="1"/>
  <c r="J22" i="1"/>
  <c r="H22" i="1"/>
  <c r="H29" i="1" s="1"/>
  <c r="G22" i="1"/>
  <c r="G29" i="1" s="1"/>
  <c r="F22" i="1"/>
  <c r="F29" i="1" s="1"/>
  <c r="F30" i="1" s="1"/>
  <c r="E22" i="1"/>
  <c r="E29" i="1" s="1"/>
  <c r="J19" i="1"/>
  <c r="J29" i="1" s="1"/>
  <c r="N18" i="1"/>
  <c r="M18" i="1"/>
  <c r="L18" i="1"/>
  <c r="K18" i="1"/>
  <c r="I18" i="1"/>
  <c r="G18" i="1"/>
  <c r="F18" i="1"/>
  <c r="H17" i="1"/>
  <c r="E17" i="1"/>
  <c r="J12" i="1"/>
  <c r="J18" i="1" s="1"/>
  <c r="H12" i="1"/>
  <c r="H18" i="1" s="1"/>
  <c r="E12" i="1"/>
  <c r="C13" i="2" l="1"/>
  <c r="J12" i="2"/>
  <c r="H12" i="2"/>
  <c r="F12" i="2"/>
  <c r="V12" i="2"/>
  <c r="C35" i="2"/>
  <c r="Y20" i="2"/>
  <c r="Y12" i="2" s="1"/>
  <c r="T12" i="2"/>
  <c r="L12" i="2"/>
  <c r="AA41" i="2"/>
  <c r="C43" i="2"/>
  <c r="C38" i="2"/>
  <c r="I30" i="1"/>
  <c r="F13" i="4"/>
  <c r="F12" i="4" s="1"/>
  <c r="C13" i="4"/>
  <c r="C12" i="4" s="1"/>
  <c r="AC12" i="2"/>
  <c r="C26" i="2"/>
  <c r="Z41" i="2"/>
  <c r="K30" i="1"/>
  <c r="R12" i="2"/>
  <c r="G12" i="2"/>
  <c r="U55" i="2"/>
  <c r="U12" i="2" s="1"/>
  <c r="C60" i="2"/>
  <c r="N12" i="3"/>
  <c r="T12" i="3"/>
  <c r="G30" i="1"/>
  <c r="G58" i="1" s="1"/>
  <c r="G70" i="1" s="1"/>
  <c r="J66" i="1"/>
  <c r="S12" i="2"/>
  <c r="M30" i="1"/>
  <c r="M58" i="1" s="1"/>
  <c r="M70" i="1" s="1"/>
  <c r="C23" i="2"/>
  <c r="K41" i="2"/>
  <c r="K12" i="2" s="1"/>
  <c r="AB12" i="2"/>
  <c r="C52" i="2"/>
  <c r="X12" i="2"/>
  <c r="D12" i="3"/>
  <c r="C12" i="3" s="1"/>
  <c r="C11" i="3" s="1"/>
  <c r="J12" i="3"/>
  <c r="P12" i="3"/>
  <c r="E13" i="4"/>
  <c r="E12" i="4" s="1"/>
  <c r="I12" i="2"/>
  <c r="E12" i="2"/>
  <c r="M12" i="2"/>
  <c r="W12" i="3"/>
  <c r="E18" i="1"/>
  <c r="L30" i="1"/>
  <c r="L66" i="1"/>
  <c r="AA55" i="2"/>
  <c r="N30" i="1"/>
  <c r="E31" i="1"/>
  <c r="E57" i="1" s="1"/>
  <c r="N66" i="1"/>
  <c r="C39" i="2"/>
  <c r="Q12" i="2"/>
  <c r="W12" i="2"/>
  <c r="AA12" i="3"/>
  <c r="C23" i="3"/>
  <c r="K12" i="3"/>
  <c r="D13" i="4"/>
  <c r="D12" i="4" s="1"/>
  <c r="C34" i="3"/>
  <c r="Y25" i="3"/>
  <c r="Y12" i="3" s="1"/>
  <c r="C32" i="3"/>
  <c r="C20" i="2"/>
  <c r="P12" i="2"/>
  <c r="O12" i="2"/>
  <c r="Z34" i="2"/>
  <c r="D41" i="2"/>
  <c r="AA49" i="2"/>
  <c r="N55" i="2"/>
  <c r="N12" i="2" s="1"/>
  <c r="C14" i="2"/>
  <c r="C15" i="2"/>
  <c r="C51" i="2"/>
  <c r="C58" i="2"/>
  <c r="L58" i="1"/>
  <c r="L70" i="1" s="1"/>
  <c r="N58" i="1"/>
  <c r="N70" i="1" s="1"/>
  <c r="K58" i="1"/>
  <c r="E30" i="1"/>
  <c r="E58" i="1" s="1"/>
  <c r="E70" i="1" s="1"/>
  <c r="J30" i="1"/>
  <c r="J58" i="1" s="1"/>
  <c r="J70" i="1" s="1"/>
  <c r="H30" i="1"/>
  <c r="H58" i="1" s="1"/>
  <c r="H70" i="1" s="1"/>
  <c r="F58" i="1"/>
  <c r="F70" i="1" s="1"/>
  <c r="I58" i="1"/>
  <c r="I70" i="1" s="1"/>
  <c r="K70" i="1"/>
  <c r="Z12" i="2" l="1"/>
  <c r="AA12" i="2"/>
  <c r="C49" i="2"/>
  <c r="C25" i="3"/>
  <c r="C41" i="2"/>
  <c r="D12" i="2"/>
  <c r="C55" i="2"/>
  <c r="C34" i="2"/>
  <c r="C12" i="2" l="1"/>
  <c r="C11" i="2" s="1"/>
</calcChain>
</file>

<file path=xl/comments1.xml><?xml version="1.0" encoding="utf-8"?>
<comments xmlns="http://schemas.openxmlformats.org/spreadsheetml/2006/main">
  <authors>
    <author>Пользователь</author>
  </authors>
  <commentLis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</commentList>
</comments>
</file>

<file path=xl/sharedStrings.xml><?xml version="1.0" encoding="utf-8"?>
<sst xmlns="http://schemas.openxmlformats.org/spreadsheetml/2006/main" count="330" uniqueCount="199">
  <si>
    <t xml:space="preserve"> </t>
  </si>
  <si>
    <t>Жалал-Абад шаардык 
депутаттар кеңешинин
V сессиясынын</t>
  </si>
  <si>
    <t>13.02.2025-жылдагы</t>
  </si>
  <si>
    <t>№1 токтомуна</t>
  </si>
  <si>
    <t>№1 тиркеме</t>
  </si>
  <si>
    <t>2025-жылга  Жалал-Абад  шаарынын  шаардык бюджетинин кирешелер боюнча долбоору жана 2026-2027 жылдарга божомолу</t>
  </si>
  <si>
    <t>№</t>
  </si>
  <si>
    <t>Элемент
(8)</t>
  </si>
  <si>
    <t xml:space="preserve">Киреше  булактарынын аттары. </t>
  </si>
  <si>
    <t>2023-жылга факт</t>
  </si>
  <si>
    <t>2024-жылга бекитилген план</t>
  </si>
  <si>
    <t>2024-жылга такталган план</t>
  </si>
  <si>
    <t>2024-жылдын 12-айынын фактысы</t>
  </si>
  <si>
    <t>2025-жылга долбоор</t>
  </si>
  <si>
    <t xml:space="preserve">2026-жылга божомол </t>
  </si>
  <si>
    <t xml:space="preserve">2027-жылга божомол </t>
  </si>
  <si>
    <t>КР ФМ сунушу</t>
  </si>
  <si>
    <t>Бекитүүгө сунушталган долбоор</t>
  </si>
  <si>
    <t>Шаар долбоору</t>
  </si>
  <si>
    <t>Кыргыз Республикасынын резиденттери-жеке жактардан алынуучу киреше салыгы</t>
  </si>
  <si>
    <t>Милдеттүү патенттин негизинде салык</t>
  </si>
  <si>
    <t>Ыктыярдуу патенттин негизинде салык</t>
  </si>
  <si>
    <t>Патенттин негизинде салык</t>
  </si>
  <si>
    <t>Чекене сооданын негизинде салык салуунун жонокойлотулгон системасы боюнча салык</t>
  </si>
  <si>
    <t>Роялти</t>
  </si>
  <si>
    <t>Жалпы мамлекеттик салыктардын жыйынтыгы</t>
  </si>
  <si>
    <t>Турак жайга же жайга мүлк салыгы</t>
  </si>
  <si>
    <t>Турак жай эмес имаратка жана жайга мүлк салыгы</t>
  </si>
  <si>
    <t>3-топтогу ишкердик иши үчүн пайдаланылган кыймылсыз мүлккө салык</t>
  </si>
  <si>
    <t>Кыймылдуу мүлккө салык (транспорттук каражаттарга)</t>
  </si>
  <si>
    <t>Жанаша, короо жай жана багбанчылык-огород жер участокторуна мүлк салыгы</t>
  </si>
  <si>
    <t>Айыл чарба жерлерине тиешелүү жерлерге мүлк салыгы</t>
  </si>
  <si>
    <t>Калктуу конуштардын жерлерине жана айыл чарба багытында болбогон жерлерге мүлк салыгы</t>
  </si>
  <si>
    <t>Калктуу пункттардын таштандысын чыгаруу үчүн жыйым</t>
  </si>
  <si>
    <t>Жергиликтүү маанидеги инфраструктураны өнүктүрүүгө жана күтүүгө чегерүүлөр</t>
  </si>
  <si>
    <t>Жергиликтуу бюджеттин башка жана болок салыктары</t>
  </si>
  <si>
    <t>Бекитилген кирешелердин жыйынтыгы</t>
  </si>
  <si>
    <t>Салык кызматтары аркылуу чогултулган киреше</t>
  </si>
  <si>
    <t>Калктуу конуштарда жер ижарасы үчүн акы, анын ичинен:</t>
  </si>
  <si>
    <t xml:space="preserve">Шаардык жер ресурстар башкармалыгы </t>
  </si>
  <si>
    <t>Муниципалдык мүлк башкармалыгы</t>
  </si>
  <si>
    <t>Курулуш базарынан түшүүчү киреше</t>
  </si>
  <si>
    <t>Жаны муниципалдык базар (Шабдалы-Зар)</t>
  </si>
  <si>
    <t>Жайыт жерлерди пайдалануу үчүн жыйым</t>
  </si>
  <si>
    <t>Айыл чарбасына жарактуу жерлердин мамлекеттик фондунун жерлерин иштетүү үчүн ижара акысы (ФПЗ)</t>
  </si>
  <si>
    <t>Муниципалдык менчикте турган жайлардын, имараттардын, курулмалардын, жабдуулардын жана техникалардын ижара акысы</t>
  </si>
  <si>
    <t>Жер ресурстары башкармалыгы</t>
  </si>
  <si>
    <t>Дагы башка мүлк ижарасы үчүн акы</t>
  </si>
  <si>
    <t>Автотранспортту парковкалоо жана автотоктотмо үчүн жыйымдар</t>
  </si>
  <si>
    <t>Дагы башка төлөмдөр (Сертификаттарды жана башка уруксат беруучу документтердин акысы)</t>
  </si>
  <si>
    <t>Алкоголдук продукцияны сатууга лицензия алган субъекттерден этил спирттин жана алкоголдук продукцияны өндүрүү жана жүгүртүү боюнча ишти ишке ашыруу үчүн жыйым</t>
  </si>
  <si>
    <t>Жер казынасын пайдалануу укугуна лицензияны кармоо үчүн акы</t>
  </si>
  <si>
    <t>Контролдук-көзөмөл чараларын жүргүзүүдөн түшүүлөр</t>
  </si>
  <si>
    <t>Экономикалык кылмыштар боюнча келтирилген зыяндын ордун толтуруу</t>
  </si>
  <si>
    <t>Мамлекеттин пайдасына айлантылган кирешелер</t>
  </si>
  <si>
    <t>Жеңил автомобилдерди сатуу</t>
  </si>
  <si>
    <t>Институционалдык имаратарды сатуу</t>
  </si>
  <si>
    <t>Башка имараттарды сатуу</t>
  </si>
  <si>
    <t>Жук ташуучу машиналарды сатуу</t>
  </si>
  <si>
    <t>Башка транспорт каражаттарын сатуу</t>
  </si>
  <si>
    <t>Жер ресурстары башкармалыгы, Муниципалдык мүлк башкармалыгы аркылуу чогултулган жыйымдар жана төлөмдөр</t>
  </si>
  <si>
    <t xml:space="preserve">Жалпы салык жана салык эмес  кирешелер </t>
  </si>
  <si>
    <t>Атайын төлөмдөрдөн түшүүчү кирешелер</t>
  </si>
  <si>
    <t>Мектепке чейинки жана мектеп мекемелерине кошумча кызмат көрсөтүү акысы</t>
  </si>
  <si>
    <t>Классификацияланбаган билим берүү жана маданият кызмат көрсөт. үчүн акы</t>
  </si>
  <si>
    <t xml:space="preserve">Маалымат берүү жана басып чыгаруу  боюнча классификацияланбаган кызмат көрсөтүүлөр акысы </t>
  </si>
  <si>
    <t>Кызмат көрсөтүүнүн башка классификацияланбаган түрлөрү үчүн акы</t>
  </si>
  <si>
    <t>Учурдагы жардам</t>
  </si>
  <si>
    <t>Капиталдык жардам</t>
  </si>
  <si>
    <t>Атайын төлөмдөрдөн түшүүчү кирешелердин жыйынтыгы</t>
  </si>
  <si>
    <t>Республикалык бюджеттен тушуучу каражат (максаттуу трансферттер)</t>
  </si>
  <si>
    <t>Теңдөөчү трансферттер (грант)</t>
  </si>
  <si>
    <t>Жергиликтүү бюджеттер арасында максаттуу трансферттер</t>
  </si>
  <si>
    <t>Жалпы кирешелер жана атайын төлөмдөр</t>
  </si>
  <si>
    <t>Жооптуу катчы</t>
  </si>
  <si>
    <t>О.Эшенкулов</t>
  </si>
  <si>
    <t>№2 тиркеме</t>
  </si>
  <si>
    <t>Жалал-Абад  шаардык  бюджеттин чыгаша бөлүгү боюнча 2025-жылга</t>
  </si>
  <si>
    <t>к/б
№</t>
  </si>
  <si>
    <t>Мекемелердин
аталышы</t>
  </si>
  <si>
    <t>Жалпысы</t>
  </si>
  <si>
    <t>Эмгек 
акы</t>
  </si>
  <si>
    <t>Соц.
фондко төлөмдөр</t>
  </si>
  <si>
    <t>Кызматтык иш сапарларга чыгымдар</t>
  </si>
  <si>
    <t>Байланыш менен тейлөө кызматы</t>
  </si>
  <si>
    <t>Ижара
акы төлөө</t>
  </si>
  <si>
    <t>Унаа менен тейлөө кызматы</t>
  </si>
  <si>
    <t>Мулктун абалын кармоо  боюнча тейлөө</t>
  </si>
  <si>
    <t>Башка тейлоо кызматтарына толоого байланышкан чыгымдар</t>
  </si>
  <si>
    <t>Медикаменттер</t>
  </si>
  <si>
    <t>Тамак аш продуктыларын алуу</t>
  </si>
  <si>
    <t>Мулкту учурдагы ондоо</t>
  </si>
  <si>
    <t xml:space="preserve">Учурдагы чарбалык максаттар үчүн </t>
  </si>
  <si>
    <t>Кийим буюмдарын сатып алуу</t>
  </si>
  <si>
    <t>Көмүр алууга</t>
  </si>
  <si>
    <t>Күзөт кызматы</t>
  </si>
  <si>
    <t>Суу үчүн акы төлөө</t>
  </si>
  <si>
    <t>электроэнергия үчүн акы төлөө</t>
  </si>
  <si>
    <t>Жылуулук энергиясы үчүн акы төлөө</t>
  </si>
  <si>
    <t>Газ үчүн акы төлөө</t>
  </si>
  <si>
    <t>Субсидия</t>
  </si>
  <si>
    <t>Калкка соц.жардам боюнча жөлөк пул</t>
  </si>
  <si>
    <t>Учурдагы ар түрдүү башка чыгашалар</t>
  </si>
  <si>
    <t>Имарат
 ж-а курулуш</t>
  </si>
  <si>
    <t>Машина 
ж-а жабдуу алуу</t>
  </si>
  <si>
    <t>Башка негизги каражаттар</t>
  </si>
  <si>
    <t>Башка запасттар/жер сатып алуу</t>
  </si>
  <si>
    <t>262 / 282</t>
  </si>
  <si>
    <t>Шаар боюнча  жыйын-ы</t>
  </si>
  <si>
    <t>шаардык Мэрия</t>
  </si>
  <si>
    <t>анын ичинде резервдик фонд</t>
  </si>
  <si>
    <t>Шаардык кенеш</t>
  </si>
  <si>
    <t>3</t>
  </si>
  <si>
    <t xml:space="preserve">Территориалдык (Спутник) башкармалыктар </t>
  </si>
  <si>
    <t>Т.Тайгараев атындагы МАБ</t>
  </si>
  <si>
    <t>М.Т.Конгантиев атындагы МАБ</t>
  </si>
  <si>
    <t>Керек жарак рыногу жана кызмат корсотуу департаменти</t>
  </si>
  <si>
    <t>бөлүмдүн жыйынтыгы</t>
  </si>
  <si>
    <t>Шаардык аскер комиссариаты</t>
  </si>
  <si>
    <t>Коомдук тартипти сак-о</t>
  </si>
  <si>
    <t xml:space="preserve">Шаардык жолдор башкармалыгы </t>
  </si>
  <si>
    <t>Капиталдык курулуш департаменти</t>
  </si>
  <si>
    <t>Долбоорлорду ишке ашыруу бөлүмү</t>
  </si>
  <si>
    <t>Муницип.пассаж.автобаза</t>
  </si>
  <si>
    <t>Жайыт (Таш-Булак а/б)</t>
  </si>
  <si>
    <t>Үлүштүк каржылоо</t>
  </si>
  <si>
    <t>Коммуналдык чарба департаменти</t>
  </si>
  <si>
    <t>Жашылдандыруу чарбасы</t>
  </si>
  <si>
    <t>Жалал-Абад тазалык мекемеси</t>
  </si>
  <si>
    <t>Жер ресурстар башкармалыгы</t>
  </si>
  <si>
    <t>Жалал-Абад Тепло</t>
  </si>
  <si>
    <t>Маданият сарайы</t>
  </si>
  <si>
    <t>Музей</t>
  </si>
  <si>
    <t xml:space="preserve"> Маалымат борбору</t>
  </si>
  <si>
    <t>Шаардык дене тарбия жана спорт болуму</t>
  </si>
  <si>
    <t>"Курманбек" стадиону</t>
  </si>
  <si>
    <t>Ден-соолукту чындоочу комплекс</t>
  </si>
  <si>
    <t>Мектептер</t>
  </si>
  <si>
    <t>Бала-бакчалар</t>
  </si>
  <si>
    <t>Мектептен сырткары мек-р</t>
  </si>
  <si>
    <t>Алтын балалык лагери</t>
  </si>
  <si>
    <t>Социалдык камсыздоо башкармалыгы</t>
  </si>
  <si>
    <t>Кайрымдуулук борбору</t>
  </si>
  <si>
    <t>Согуш ардагерлер кенеши</t>
  </si>
  <si>
    <t>№2а тиркеме</t>
  </si>
  <si>
    <t>Жалал-Абад  шаардык бюджеттин чыгаша бөлугу боюнча 2025-жылга</t>
  </si>
  <si>
    <t>Башка негизги фонд каражаттары</t>
  </si>
  <si>
    <t>Башка запасттар</t>
  </si>
  <si>
    <t>Шаар боюнча  жыйынтыгы</t>
  </si>
  <si>
    <t>Мэрия</t>
  </si>
  <si>
    <t xml:space="preserve">Керек жарак рыногу </t>
  </si>
  <si>
    <t>болумдун жыйынтыгы</t>
  </si>
  <si>
    <t>Турак жай чарбасынын ж.</t>
  </si>
  <si>
    <t>Маалымат борбору</t>
  </si>
  <si>
    <t>Стадион Курманбек</t>
  </si>
  <si>
    <t>Ден-соолукту чыңдоочу комплекси</t>
  </si>
  <si>
    <t>№3 тиркеме</t>
  </si>
  <si>
    <t>Жалал-Абад  шаардык  бюджеттин чыгаша бөлүгү боюнча 2026-2027-жж.</t>
  </si>
  <si>
    <t>2026-жылга болжол</t>
  </si>
  <si>
    <t>2027-жылга болжол</t>
  </si>
  <si>
    <t>бюджет</t>
  </si>
  <si>
    <t>атайын 
каражат</t>
  </si>
  <si>
    <t>М.Т. Конгантиев атындагы МАБ</t>
  </si>
  <si>
    <t>7.1</t>
  </si>
  <si>
    <t>МАР кредити боюнча кайтарууга (жол баш-гы)</t>
  </si>
  <si>
    <t>Жер ресуртар башкармалыгы</t>
  </si>
  <si>
    <t>Шаардык жаштар иштери,  дене
 тарбия жана спорт болуму</t>
  </si>
  <si>
    <t>ФОК</t>
  </si>
  <si>
    <t>№4 тиркеме</t>
  </si>
  <si>
    <t>01.01.2025- жылга калган калдыктын (профицит) эсебинен каржылануучу чыгашалардын долбоору</t>
  </si>
  <si>
    <t>(бюджеттик эсеп)</t>
  </si>
  <si>
    <t>(миң сом)</t>
  </si>
  <si>
    <t>Иш чаралардын аталышы</t>
  </si>
  <si>
    <t>Сумма</t>
  </si>
  <si>
    <t>Шаардагы курулуш иштерине</t>
  </si>
  <si>
    <t>Сууканал башкармалыгы</t>
  </si>
  <si>
    <t>Насыя кайтарууга</t>
  </si>
  <si>
    <t>Шаардык жолдор башкармалыгы</t>
  </si>
  <si>
    <t>Битум алууга</t>
  </si>
  <si>
    <t>Жергиликтүү бюджеттин калдыгы</t>
  </si>
  <si>
    <t>Облустук администрациясынын, Жалал-Абад шаарынын мэриясынын жаңы имараты жана борбордук аянтынын курулушуна</t>
  </si>
  <si>
    <t>Турукташтыруу фондунан түшкөн каражаттын калдыгы</t>
  </si>
  <si>
    <t>01.01.2025-жылга жалпы калдык</t>
  </si>
  <si>
    <t>№4а тиркеме</t>
  </si>
  <si>
    <t>01.01.2024- жылга калган калдыктын (профицит) эсебинен каржылануучу чыгашалардын долбоору</t>
  </si>
  <si>
    <t>(атайын төлөмдөр)</t>
  </si>
  <si>
    <t>Мекемелердин 
аталышы</t>
  </si>
  <si>
    <t>Мэрия г.Жалал-Абад</t>
  </si>
  <si>
    <t>Керек жарак рыногу жана кызмат көрсөтүү департаменти</t>
  </si>
  <si>
    <t>701. Мамлекеттик башкаруу бөлүмү</t>
  </si>
  <si>
    <t>704. Экономикалык суроолор</t>
  </si>
  <si>
    <t>706. Турак-жай чарба бөлүмү</t>
  </si>
  <si>
    <t>708. Маданият бөлүмү</t>
  </si>
  <si>
    <t xml:space="preserve">Бала-бакчалар </t>
  </si>
  <si>
    <t>709. Билим беруу бөлүмү</t>
  </si>
  <si>
    <r>
      <t xml:space="preserve">бюджеттик мекеме уюмдардын </t>
    </r>
    <r>
      <rPr>
        <b/>
        <sz val="12"/>
        <rFont val="Times New Roman UniToktom"/>
        <family val="1"/>
        <charset val="204"/>
      </rPr>
      <t xml:space="preserve"> бюджеттик</t>
    </r>
    <r>
      <rPr>
        <sz val="12"/>
        <rFont val="Times New Roman UniToktom"/>
        <family val="1"/>
        <charset val="204"/>
      </rPr>
      <t xml:space="preserve"> сметалык чыгымдары</t>
    </r>
  </si>
  <si>
    <r>
      <t>3122</t>
    </r>
    <r>
      <rPr>
        <b/>
        <sz val="12"/>
        <rFont val="Times New Roman UniToktom"/>
        <charset val="204"/>
      </rPr>
      <t>/</t>
    </r>
    <r>
      <rPr>
        <sz val="12"/>
        <rFont val="Times New Roman UniToktom"/>
        <family val="1"/>
        <charset val="204"/>
      </rPr>
      <t>3141</t>
    </r>
  </si>
  <si>
    <r>
      <t xml:space="preserve">бюджеттик мекеме уюмдардын </t>
    </r>
    <r>
      <rPr>
        <b/>
        <sz val="12"/>
        <rFont val="Times New Roman"/>
        <family val="1"/>
        <charset val="204"/>
      </rPr>
      <t>атайын төлөмдөр</t>
    </r>
    <r>
      <rPr>
        <sz val="12"/>
        <rFont val="Times New Roman"/>
        <family val="1"/>
        <charset val="204"/>
      </rPr>
      <t xml:space="preserve"> боюнча сметалык чыгымдары </t>
    </r>
  </si>
  <si>
    <r>
      <t xml:space="preserve">бюджеттик мекеме уюмдардын </t>
    </r>
    <r>
      <rPr>
        <b/>
        <sz val="12"/>
        <rFont val="Times New Roman UniToktom"/>
        <family val="1"/>
        <charset val="204"/>
      </rPr>
      <t xml:space="preserve"> болжолу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</si>
</sst>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_р_._-;\-* #,##0.00_р_._-;_-* &quot;-&quot;??_р_._-;_-@_-"/>
    <numFmt numFmtId="166" formatCode="0.0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 UniToktom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E"/>
      <family val="1"/>
      <charset val="204"/>
    </font>
    <font>
      <sz val="12"/>
      <name val="Times New Roman CE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 CE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 CE"/>
      <family val="1"/>
      <charset val="204"/>
    </font>
    <font>
      <b/>
      <i/>
      <sz val="12"/>
      <name val="Times New Roman CE"/>
      <family val="1"/>
      <charset val="204"/>
    </font>
    <font>
      <b/>
      <sz val="12"/>
      <name val="Times New Roman CE"/>
      <family val="1"/>
      <charset val="204"/>
    </font>
    <font>
      <b/>
      <sz val="12"/>
      <color theme="1"/>
      <name val="Times New Roman CE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Times New Roman CE"/>
      <charset val="204"/>
    </font>
    <font>
      <i/>
      <sz val="12"/>
      <color theme="1"/>
      <name val="Times New Roman CE"/>
      <charset val="204"/>
    </font>
    <font>
      <sz val="12"/>
      <color theme="1"/>
      <name val="Times New Roman CE"/>
      <charset val="204"/>
    </font>
    <font>
      <i/>
      <sz val="12"/>
      <name val="Times New Roman CE"/>
      <family val="1"/>
      <charset val="204"/>
    </font>
    <font>
      <i/>
      <sz val="12"/>
      <color theme="1"/>
      <name val="Times New Roman CE"/>
      <family val="1"/>
      <charset val="204"/>
    </font>
    <font>
      <b/>
      <sz val="12"/>
      <color theme="1"/>
      <name val="Times New Roman CE"/>
      <charset val="204"/>
    </font>
    <font>
      <b/>
      <sz val="12"/>
      <name val="Times New Roman CE"/>
      <charset val="204"/>
    </font>
    <font>
      <sz val="12"/>
      <name val="Times New Roman UniToktom"/>
      <family val="1"/>
      <charset val="204"/>
    </font>
    <font>
      <b/>
      <sz val="12"/>
      <name val="Times New Roman UniToktom"/>
      <family val="1"/>
      <charset val="204"/>
    </font>
    <font>
      <sz val="12"/>
      <name val="Times New Roman UniToktom"/>
      <charset val="204"/>
    </font>
    <font>
      <i/>
      <sz val="12"/>
      <name val="Times New Roman UniToktom"/>
      <charset val="204"/>
    </font>
    <font>
      <b/>
      <i/>
      <sz val="12"/>
      <name val="Times New Roman UniToktom"/>
      <charset val="204"/>
    </font>
    <font>
      <i/>
      <sz val="12"/>
      <name val="Times New Roman UniToktom"/>
      <family val="1"/>
      <charset val="204"/>
    </font>
    <font>
      <sz val="12"/>
      <color rgb="FFFF0000"/>
      <name val="Times New Roman UniToktom"/>
      <charset val="204"/>
    </font>
    <font>
      <sz val="12"/>
      <name val="Times New Roman Cyr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 tint="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 applyFont="1"/>
    <xf numFmtId="164" fontId="7" fillId="0" borderId="0" xfId="1" applyNumberFormat="1" applyFont="1"/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wrapText="1"/>
    </xf>
    <xf numFmtId="0" fontId="8" fillId="0" borderId="5" xfId="1" applyFont="1" applyBorder="1" applyAlignment="1">
      <alignment horizontal="center"/>
    </xf>
    <xf numFmtId="0" fontId="12" fillId="0" borderId="5" xfId="1" applyFont="1" applyBorder="1"/>
    <xf numFmtId="0" fontId="13" fillId="0" borderId="5" xfId="1" applyFont="1" applyBorder="1"/>
    <xf numFmtId="0" fontId="8" fillId="0" borderId="5" xfId="1" applyFont="1" applyBorder="1" applyAlignment="1">
      <alignment horizontal="left" vertical="center" wrapText="1"/>
    </xf>
    <xf numFmtId="1" fontId="10" fillId="0" borderId="5" xfId="1" applyNumberFormat="1" applyFont="1" applyBorder="1"/>
    <xf numFmtId="164" fontId="14" fillId="0" borderId="5" xfId="1" applyNumberFormat="1" applyFont="1" applyBorder="1"/>
    <xf numFmtId="164" fontId="10" fillId="0" borderId="5" xfId="1" applyNumberFormat="1" applyFont="1" applyBorder="1"/>
    <xf numFmtId="0" fontId="8" fillId="0" borderId="5" xfId="1" applyFont="1" applyBorder="1"/>
    <xf numFmtId="0" fontId="9" fillId="0" borderId="5" xfId="1" applyFont="1" applyBorder="1"/>
    <xf numFmtId="0" fontId="8" fillId="0" borderId="5" xfId="1" applyFont="1" applyBorder="1" applyAlignment="1">
      <alignment wrapText="1"/>
    </xf>
    <xf numFmtId="164" fontId="14" fillId="2" borderId="5" xfId="1" applyNumberFormat="1" applyFont="1" applyFill="1" applyBorder="1"/>
    <xf numFmtId="0" fontId="3" fillId="0" borderId="5" xfId="1" applyFont="1" applyBorder="1"/>
    <xf numFmtId="0" fontId="15" fillId="0" borderId="5" xfId="1" applyFont="1" applyBorder="1" applyAlignment="1">
      <alignment horizontal="center"/>
    </xf>
    <xf numFmtId="164" fontId="16" fillId="0" borderId="5" xfId="1" applyNumberFormat="1" applyFont="1" applyBorder="1"/>
    <xf numFmtId="164" fontId="17" fillId="0" borderId="5" xfId="1" applyNumberFormat="1" applyFont="1" applyBorder="1"/>
    <xf numFmtId="0" fontId="10" fillId="0" borderId="5" xfId="1" applyFont="1" applyBorder="1" applyAlignment="1">
      <alignment horizontal="left" vertical="center" wrapText="1"/>
    </xf>
    <xf numFmtId="164" fontId="11" fillId="0" borderId="5" xfId="1" applyNumberFormat="1" applyFont="1" applyBorder="1" applyAlignment="1">
      <alignment horizontal="center"/>
    </xf>
    <xf numFmtId="164" fontId="15" fillId="0" borderId="5" xfId="1" applyNumberFormat="1" applyFont="1" applyBorder="1"/>
    <xf numFmtId="164" fontId="9" fillId="0" borderId="0" xfId="1" applyNumberFormat="1" applyFont="1"/>
    <xf numFmtId="0" fontId="15" fillId="0" borderId="5" xfId="1" applyFont="1" applyBorder="1" applyAlignment="1">
      <alignment horizontal="center" wrapText="1"/>
    </xf>
    <xf numFmtId="1" fontId="18" fillId="0" borderId="5" xfId="1" applyNumberFormat="1" applyFont="1" applyBorder="1"/>
    <xf numFmtId="164" fontId="19" fillId="0" borderId="5" xfId="1" applyNumberFormat="1" applyFont="1" applyBorder="1"/>
    <xf numFmtId="0" fontId="20" fillId="0" borderId="0" xfId="1" applyFont="1"/>
    <xf numFmtId="164" fontId="20" fillId="0" borderId="0" xfId="1" applyNumberFormat="1" applyFont="1"/>
    <xf numFmtId="0" fontId="21" fillId="0" borderId="5" xfId="1" applyFont="1" applyBorder="1"/>
    <xf numFmtId="164" fontId="22" fillId="0" borderId="5" xfId="1" applyNumberFormat="1" applyFont="1" applyBorder="1"/>
    <xf numFmtId="164" fontId="23" fillId="0" borderId="5" xfId="1" applyNumberFormat="1" applyFont="1" applyBorder="1"/>
    <xf numFmtId="164" fontId="8" fillId="0" borderId="5" xfId="1" applyNumberFormat="1" applyFont="1" applyBorder="1"/>
    <xf numFmtId="0" fontId="12" fillId="0" borderId="5" xfId="1" applyFont="1" applyBorder="1" applyAlignment="1">
      <alignment vertical="center"/>
    </xf>
    <xf numFmtId="0" fontId="10" fillId="0" borderId="5" xfId="1" applyFont="1" applyBorder="1" applyAlignment="1">
      <alignment horizontal="left" vertical="center"/>
    </xf>
    <xf numFmtId="164" fontId="24" fillId="0" borderId="5" xfId="1" applyNumberFormat="1" applyFont="1" applyBorder="1"/>
    <xf numFmtId="164" fontId="11" fillId="0" borderId="5" xfId="1" applyNumberFormat="1" applyFont="1" applyBorder="1"/>
    <xf numFmtId="0" fontId="21" fillId="0" borderId="5" xfId="1" applyFont="1" applyBorder="1" applyAlignment="1">
      <alignment wrapText="1"/>
    </xf>
    <xf numFmtId="1" fontId="25" fillId="0" borderId="5" xfId="1" applyNumberFormat="1" applyFont="1" applyBorder="1"/>
    <xf numFmtId="164" fontId="26" fillId="0" borderId="5" xfId="1" applyNumberFormat="1" applyFont="1" applyBorder="1"/>
    <xf numFmtId="164" fontId="25" fillId="0" borderId="5" xfId="1" applyNumberFormat="1" applyFont="1" applyBorder="1"/>
    <xf numFmtId="0" fontId="15" fillId="0" borderId="5" xfId="1" applyFont="1" applyBorder="1" applyAlignment="1">
      <alignment wrapText="1"/>
    </xf>
    <xf numFmtId="1" fontId="17" fillId="0" borderId="5" xfId="1" applyNumberFormat="1" applyFont="1" applyBorder="1"/>
    <xf numFmtId="0" fontId="11" fillId="0" borderId="7" xfId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/>
    </xf>
    <xf numFmtId="0" fontId="12" fillId="0" borderId="5" xfId="2" applyFont="1" applyBorder="1"/>
    <xf numFmtId="0" fontId="12" fillId="0" borderId="5" xfId="2" applyFont="1" applyBorder="1" applyAlignment="1">
      <alignment wrapText="1"/>
    </xf>
    <xf numFmtId="164" fontId="12" fillId="0" borderId="5" xfId="2" applyNumberFormat="1" applyFont="1" applyBorder="1" applyAlignment="1">
      <alignment horizontal="right" wrapText="1"/>
    </xf>
    <xf numFmtId="0" fontId="3" fillId="0" borderId="5" xfId="1" applyFont="1" applyBorder="1" applyAlignment="1">
      <alignment wrapText="1"/>
    </xf>
    <xf numFmtId="164" fontId="20" fillId="0" borderId="5" xfId="1" applyNumberFormat="1" applyFont="1" applyBorder="1"/>
    <xf numFmtId="0" fontId="3" fillId="0" borderId="2" xfId="1" applyFont="1" applyBorder="1" applyAlignment="1">
      <alignment horizontal="center"/>
    </xf>
    <xf numFmtId="164" fontId="27" fillId="0" borderId="3" xfId="1" applyNumberFormat="1" applyFont="1" applyBorder="1"/>
    <xf numFmtId="164" fontId="28" fillId="0" borderId="3" xfId="1" applyNumberFormat="1" applyFont="1" applyBorder="1"/>
    <xf numFmtId="164" fontId="28" fillId="0" borderId="5" xfId="1" applyNumberFormat="1" applyFont="1" applyBorder="1"/>
    <xf numFmtId="0" fontId="15" fillId="0" borderId="2" xfId="1" applyFont="1" applyBorder="1"/>
    <xf numFmtId="164" fontId="9" fillId="0" borderId="5" xfId="1" applyNumberFormat="1" applyFont="1" applyBorder="1"/>
    <xf numFmtId="164" fontId="12" fillId="0" borderId="5" xfId="1" applyNumberFormat="1" applyFont="1" applyBorder="1" applyAlignment="1">
      <alignment wrapText="1"/>
    </xf>
    <xf numFmtId="164" fontId="8" fillId="2" borderId="5" xfId="1" applyNumberFormat="1" applyFont="1" applyFill="1" applyBorder="1"/>
    <xf numFmtId="0" fontId="10" fillId="0" borderId="2" xfId="1" applyFont="1" applyBorder="1" applyAlignment="1">
      <alignment wrapText="1"/>
    </xf>
    <xf numFmtId="0" fontId="8" fillId="0" borderId="2" xfId="1" applyFont="1" applyBorder="1"/>
    <xf numFmtId="0" fontId="8" fillId="0" borderId="5" xfId="1" applyFont="1" applyBorder="1" applyAlignment="1">
      <alignment horizontal="left" vertical="center"/>
    </xf>
    <xf numFmtId="0" fontId="18" fillId="0" borderId="2" xfId="1" applyFont="1" applyBorder="1" applyAlignment="1">
      <alignment horizontal="center"/>
    </xf>
    <xf numFmtId="164" fontId="20" fillId="3" borderId="5" xfId="1" applyNumberFormat="1" applyFont="1" applyFill="1" applyBorder="1"/>
    <xf numFmtId="0" fontId="29" fillId="0" borderId="0" xfId="1" applyFont="1"/>
    <xf numFmtId="164" fontId="29" fillId="0" borderId="0" xfId="1" applyNumberFormat="1" applyFont="1"/>
    <xf numFmtId="0" fontId="29" fillId="0" borderId="9" xfId="1" applyFont="1" applyBorder="1" applyAlignment="1">
      <alignment horizontal="center" vertical="center" wrapText="1"/>
    </xf>
    <xf numFmtId="0" fontId="29" fillId="0" borderId="9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 wrapText="1"/>
    </xf>
    <xf numFmtId="0" fontId="29" fillId="0" borderId="11" xfId="1" applyFont="1" applyBorder="1" applyAlignment="1">
      <alignment horizontal="center" vertical="center" wrapText="1"/>
    </xf>
    <xf numFmtId="0" fontId="29" fillId="0" borderId="5" xfId="1" applyFont="1" applyBorder="1"/>
    <xf numFmtId="164" fontId="7" fillId="0" borderId="5" xfId="1" applyNumberFormat="1" applyFont="1" applyBorder="1"/>
    <xf numFmtId="0" fontId="29" fillId="0" borderId="5" xfId="1" applyFont="1" applyBorder="1" applyAlignment="1">
      <alignment horizontal="center"/>
    </xf>
    <xf numFmtId="164" fontId="29" fillId="0" borderId="5" xfId="1" applyNumberFormat="1" applyFont="1" applyBorder="1"/>
    <xf numFmtId="164" fontId="29" fillId="3" borderId="5" xfId="1" applyNumberFormat="1" applyFont="1" applyFill="1" applyBorder="1"/>
    <xf numFmtId="0" fontId="30" fillId="0" borderId="5" xfId="1" applyFont="1" applyBorder="1"/>
    <xf numFmtId="0" fontId="30" fillId="0" borderId="5" xfId="1" applyFont="1" applyBorder="1" applyAlignment="1">
      <alignment wrapText="1"/>
    </xf>
    <xf numFmtId="164" fontId="30" fillId="0" borderId="5" xfId="1" applyNumberFormat="1" applyFont="1" applyBorder="1"/>
    <xf numFmtId="164" fontId="31" fillId="0" borderId="5" xfId="1" applyNumberFormat="1" applyFont="1" applyBorder="1"/>
    <xf numFmtId="49" fontId="32" fillId="0" borderId="5" xfId="1" applyNumberFormat="1" applyFont="1" applyBorder="1" applyAlignment="1">
      <alignment horizontal="right"/>
    </xf>
    <xf numFmtId="0" fontId="32" fillId="0" borderId="5" xfId="1" applyFont="1" applyBorder="1"/>
    <xf numFmtId="164" fontId="32" fillId="0" borderId="5" xfId="1" applyNumberFormat="1" applyFont="1" applyBorder="1"/>
    <xf numFmtId="164" fontId="33" fillId="0" borderId="5" xfId="1" applyNumberFormat="1" applyFont="1" applyBorder="1"/>
    <xf numFmtId="0" fontId="32" fillId="0" borderId="0" xfId="1" applyFont="1"/>
    <xf numFmtId="164" fontId="32" fillId="0" borderId="0" xfId="1" applyNumberFormat="1" applyFont="1"/>
    <xf numFmtId="49" fontId="31" fillId="0" borderId="5" xfId="1" applyNumberFormat="1" applyFont="1" applyBorder="1" applyAlignment="1">
      <alignment horizontal="right"/>
    </xf>
    <xf numFmtId="0" fontId="31" fillId="0" borderId="5" xfId="1" applyFont="1" applyBorder="1" applyAlignment="1">
      <alignment wrapText="1"/>
    </xf>
    <xf numFmtId="0" fontId="31" fillId="0" borderId="0" xfId="1" applyFont="1"/>
    <xf numFmtId="0" fontId="29" fillId="0" borderId="5" xfId="1" applyFont="1" applyBorder="1" applyAlignment="1">
      <alignment wrapText="1"/>
    </xf>
    <xf numFmtId="164" fontId="34" fillId="0" borderId="0" xfId="1" applyNumberFormat="1" applyFont="1"/>
    <xf numFmtId="0" fontId="31" fillId="0" borderId="5" xfId="1" applyFont="1" applyBorder="1"/>
    <xf numFmtId="0" fontId="35" fillId="0" borderId="0" xfId="1" applyFont="1"/>
    <xf numFmtId="164" fontId="31" fillId="0" borderId="0" xfId="1" applyNumberFormat="1" applyFont="1"/>
    <xf numFmtId="0" fontId="8" fillId="0" borderId="0" xfId="1" applyFont="1" applyAlignment="1">
      <alignment horizontal="center"/>
    </xf>
    <xf numFmtId="166" fontId="8" fillId="0" borderId="5" xfId="1" applyNumberFormat="1" applyFont="1" applyBorder="1"/>
    <xf numFmtId="164" fontId="3" fillId="0" borderId="5" xfId="1" applyNumberFormat="1" applyFont="1" applyBorder="1"/>
    <xf numFmtId="164" fontId="8" fillId="0" borderId="0" xfId="1" applyNumberFormat="1" applyFont="1"/>
    <xf numFmtId="164" fontId="36" fillId="0" borderId="5" xfId="1" applyNumberFormat="1" applyFont="1" applyBorder="1"/>
    <xf numFmtId="164" fontId="37" fillId="0" borderId="5" xfId="1" applyNumberFormat="1" applyFont="1" applyBorder="1"/>
    <xf numFmtId="164" fontId="38" fillId="0" borderId="5" xfId="1" applyNumberFormat="1" applyFont="1" applyBorder="1"/>
    <xf numFmtId="164" fontId="3" fillId="0" borderId="0" xfId="1" applyNumberFormat="1" applyFont="1"/>
    <xf numFmtId="0" fontId="10" fillId="0" borderId="0" xfId="1" applyFont="1" applyAlignment="1">
      <alignment vertical="center" wrapText="1"/>
    </xf>
    <xf numFmtId="3" fontId="10" fillId="0" borderId="0" xfId="1" applyNumberFormat="1" applyFont="1"/>
    <xf numFmtId="0" fontId="29" fillId="0" borderId="13" xfId="1" applyFont="1" applyBorder="1"/>
    <xf numFmtId="0" fontId="29" fillId="0" borderId="14" xfId="1" applyFont="1" applyBorder="1" applyAlignment="1">
      <alignment horizontal="center"/>
    </xf>
    <xf numFmtId="0" fontId="29" fillId="0" borderId="15" xfId="1" applyFont="1" applyBorder="1" applyAlignment="1">
      <alignment horizontal="center" wrapText="1"/>
    </xf>
    <xf numFmtId="164" fontId="29" fillId="0" borderId="5" xfId="1" applyNumberFormat="1" applyFont="1" applyBorder="1" applyAlignment="1">
      <alignment horizontal="center"/>
    </xf>
    <xf numFmtId="0" fontId="32" fillId="0" borderId="5" xfId="1" applyFont="1" applyBorder="1" applyAlignment="1">
      <alignment wrapText="1"/>
    </xf>
    <xf numFmtId="0" fontId="10" fillId="0" borderId="0" xfId="1" applyFont="1"/>
    <xf numFmtId="0" fontId="8" fillId="0" borderId="0" xfId="1" applyFont="1" applyAlignment="1">
      <alignment horizontal="right" vertical="center"/>
    </xf>
    <xf numFmtId="0" fontId="30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164" fontId="31" fillId="0" borderId="5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vertical="center" wrapText="1"/>
    </xf>
    <xf numFmtId="0" fontId="8" fillId="0" borderId="5" xfId="1" applyFont="1" applyBorder="1" applyAlignment="1">
      <alignment horizontal="right" vertical="center"/>
    </xf>
    <xf numFmtId="164" fontId="3" fillId="0" borderId="5" xfId="1" applyNumberFormat="1" applyFont="1" applyBorder="1" applyAlignment="1">
      <alignment horizontal="center" vertical="center"/>
    </xf>
    <xf numFmtId="164" fontId="20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164" fontId="8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1" fontId="10" fillId="0" borderId="0" xfId="1" applyNumberFormat="1" applyFont="1"/>
    <xf numFmtId="166" fontId="10" fillId="0" borderId="0" xfId="1" applyNumberFormat="1" applyFont="1"/>
    <xf numFmtId="164" fontId="10" fillId="0" borderId="0" xfId="1" applyNumberFormat="1" applyFont="1"/>
    <xf numFmtId="0" fontId="10" fillId="0" borderId="0" xfId="1" applyFont="1" applyAlignment="1">
      <alignment horizontal="left" wrapText="1"/>
    </xf>
    <xf numFmtId="3" fontId="10" fillId="0" borderId="0" xfId="1" applyNumberFormat="1" applyFont="1" applyAlignment="1">
      <alignment horizontal="left"/>
    </xf>
    <xf numFmtId="0" fontId="3" fillId="0" borderId="0" xfId="1" applyFont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8" fillId="0" borderId="1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10" fillId="0" borderId="0" xfId="1" applyFont="1" applyAlignment="1">
      <alignment horizontal="left" vertical="center" wrapText="1"/>
    </xf>
    <xf numFmtId="0" fontId="29" fillId="0" borderId="0" xfId="1" applyFont="1" applyAlignment="1">
      <alignment horizontal="center"/>
    </xf>
    <xf numFmtId="0" fontId="29" fillId="0" borderId="8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9" fillId="0" borderId="9" xfId="1" applyFont="1" applyBorder="1" applyAlignment="1">
      <alignment horizontal="center" vertical="center" wrapText="1"/>
    </xf>
    <xf numFmtId="0" fontId="29" fillId="0" borderId="1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16" xfId="1" applyFont="1" applyBorder="1" applyAlignment="1">
      <alignment horizontal="center"/>
    </xf>
  </cellXfs>
  <cellStyles count="10">
    <cellStyle name="Обычный" xfId="0" builtinId="0"/>
    <cellStyle name="Обычный 2" xfId="3"/>
    <cellStyle name="Обычный 2 2" xfId="2"/>
    <cellStyle name="Обычный 2 2 2" xfId="4"/>
    <cellStyle name="Обычный 2 2 3" xfId="5"/>
    <cellStyle name="Обычный 3" xfId="1"/>
    <cellStyle name="Обычный 4" xfId="6"/>
    <cellStyle name="Процентный 2" xfId="7"/>
    <cellStyle name="Финансовый 2" xfId="8"/>
    <cellStyle name="Финансовый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72;&#1087;&#1082;&#1080;\&#1076;&#1086;&#1082;&#1091;&#1084;&#1077;&#1085;&#1090;&#1099;%20&#1075;&#1086;&#1088;%20&#1060;&#1059;\&#1076;&#1086;&#1082;.2006\&#1086;&#1090;&#1095;&#1077;&#1090;%202003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1043;&#1083;&#1072;&#1074;&#1085;&#1086;&#1077;%20&#1084;&#1077;&#1085;&#1102;\www.NURBEK@.mail.ru\&#1056;&#1040;&#1057;&#1061;&#1054;&#1044;&#1067;\2003\&#1086;&#1090;&#1095;&#1077;&#1090;%202003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1;&#1102;&#1076;&#1078;&#1077;&#1090;%202025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03год."/>
      <sheetName val="бюджет-2003-12"/>
      <sheetName val="спец-2003-12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03год.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1 до ошибки"/>
      <sheetName val="Т1 старый"/>
      <sheetName val="Изменение Послед"/>
      <sheetName val="Спец"/>
      <sheetName val="Т 1"/>
      <sheetName val="Т2"/>
      <sheetName val="Т2а"/>
      <sheetName val="Т3"/>
      <sheetName val="Т4"/>
      <sheetName val="Т4а"/>
      <sheetName val="Т 5 мэрия"/>
      <sheetName val="Т 6 кенеш"/>
      <sheetName val="Т 7 управа"/>
      <sheetName val="Т 8 Тайгараев"/>
      <sheetName val="Т 9 Конгантиев"/>
      <sheetName val="Т 10 дпр"/>
      <sheetName val="Т 11 УГД"/>
      <sheetName val="Т 12 ДКС "/>
      <sheetName val="Т  13 оркп"/>
      <sheetName val="Т 14 ЖКХ"/>
      <sheetName val="Т 15 Жашыл"/>
      <sheetName val="Т 16 тазалык бюджет"/>
      <sheetName val="Т 16а тазалык спец"/>
      <sheetName val="Т 17 УЗР"/>
      <sheetName val="Т18 УМИ бюджет"/>
      <sheetName val="Т18а УМИ спец"/>
      <sheetName val="Т18б УМИ спец перерасчет"/>
      <sheetName val="Т 19 мад.сарай"/>
      <sheetName val="Т 20 музей"/>
      <sheetName val="Т  21 Маалымат борбору"/>
      <sheetName val="Т 22 ФК "/>
      <sheetName val="Т  23 стадион"/>
      <sheetName val="Т 24 ФОК"/>
      <sheetName val="Т 25 ЦБГ"/>
      <sheetName val="Т 26 милосердие"/>
      <sheetName val="Т 27 Совет ветеран"/>
    </sheetNames>
    <sheetDataSet>
      <sheetData sheetId="0"/>
      <sheetData sheetId="1"/>
      <sheetData sheetId="2"/>
      <sheetData sheetId="3"/>
      <sheetData sheetId="4">
        <row r="58">
          <cell r="J58">
            <v>947177.41379999998</v>
          </cell>
          <cell r="L58">
            <v>951171.61380000005</v>
          </cell>
          <cell r="N58">
            <v>1034471.9137999999</v>
          </cell>
        </row>
        <row r="66">
          <cell r="J66">
            <v>262344.59999999998</v>
          </cell>
          <cell r="L66">
            <v>262344.59999999998</v>
          </cell>
          <cell r="N66">
            <v>262344.59999999998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81"/>
  <sheetViews>
    <sheetView view="pageBreakPreview" topLeftCell="A46" zoomScale="70" zoomScaleNormal="70" zoomScaleSheetLayoutView="70" workbookViewId="0">
      <selection activeCell="C68" sqref="C68"/>
    </sheetView>
  </sheetViews>
  <sheetFormatPr defaultColWidth="9.140625" defaultRowHeight="15.75"/>
  <cols>
    <col min="1" max="1" width="4.28515625" style="4" customWidth="1"/>
    <col min="2" max="2" width="11.140625" style="4" customWidth="1"/>
    <col min="3" max="3" width="70.28515625" style="4" customWidth="1"/>
    <col min="4" max="4" width="5" style="4" bestFit="1" customWidth="1"/>
    <col min="5" max="5" width="12.140625" style="4" customWidth="1"/>
    <col min="6" max="6" width="11.5703125" style="4" customWidth="1"/>
    <col min="7" max="7" width="11.85546875" style="4" bestFit="1" customWidth="1"/>
    <col min="8" max="8" width="12.140625" style="4" customWidth="1"/>
    <col min="9" max="9" width="11.7109375" style="4" customWidth="1"/>
    <col min="10" max="10" width="12.7109375" style="4" customWidth="1"/>
    <col min="11" max="11" width="11.85546875" style="4" customWidth="1"/>
    <col min="12" max="12" width="12.28515625" style="4" customWidth="1"/>
    <col min="13" max="13" width="11.7109375" style="4" customWidth="1"/>
    <col min="14" max="14" width="12.140625" style="4" customWidth="1"/>
    <col min="15" max="15" width="9.140625" style="4"/>
    <col min="16" max="16" width="10.42578125" style="4" bestFit="1" customWidth="1"/>
    <col min="17" max="256" width="9.140625" style="4"/>
    <col min="257" max="257" width="4.28515625" style="4" customWidth="1"/>
    <col min="258" max="258" width="8.85546875" style="4" customWidth="1"/>
    <col min="259" max="259" width="60.5703125" style="4" customWidth="1"/>
    <col min="260" max="260" width="5.85546875" style="4" customWidth="1"/>
    <col min="261" max="261" width="12.140625" style="4" customWidth="1"/>
    <col min="262" max="262" width="11.5703125" style="4" customWidth="1"/>
    <col min="263" max="263" width="10.28515625" style="4" bestFit="1" customWidth="1"/>
    <col min="264" max="264" width="12.140625" style="4" customWidth="1"/>
    <col min="265" max="265" width="10.7109375" style="4" customWidth="1"/>
    <col min="266" max="268" width="10.28515625" style="4" customWidth="1"/>
    <col min="269" max="269" width="9.5703125" style="4" customWidth="1"/>
    <col min="270" max="270" width="10.42578125" style="4" customWidth="1"/>
    <col min="271" max="271" width="9.140625" style="4"/>
    <col min="272" max="272" width="10.42578125" style="4" bestFit="1" customWidth="1"/>
    <col min="273" max="512" width="9.140625" style="4"/>
    <col min="513" max="513" width="4.28515625" style="4" customWidth="1"/>
    <col min="514" max="514" width="8.85546875" style="4" customWidth="1"/>
    <col min="515" max="515" width="60.5703125" style="4" customWidth="1"/>
    <col min="516" max="516" width="5.85546875" style="4" customWidth="1"/>
    <col min="517" max="517" width="12.140625" style="4" customWidth="1"/>
    <col min="518" max="518" width="11.5703125" style="4" customWidth="1"/>
    <col min="519" max="519" width="10.28515625" style="4" bestFit="1" customWidth="1"/>
    <col min="520" max="520" width="12.140625" style="4" customWidth="1"/>
    <col min="521" max="521" width="10.7109375" style="4" customWidth="1"/>
    <col min="522" max="524" width="10.28515625" style="4" customWidth="1"/>
    <col min="525" max="525" width="9.5703125" style="4" customWidth="1"/>
    <col min="526" max="526" width="10.42578125" style="4" customWidth="1"/>
    <col min="527" max="527" width="9.140625" style="4"/>
    <col min="528" max="528" width="10.42578125" style="4" bestFit="1" customWidth="1"/>
    <col min="529" max="768" width="9.140625" style="4"/>
    <col min="769" max="769" width="4.28515625" style="4" customWidth="1"/>
    <col min="770" max="770" width="8.85546875" style="4" customWidth="1"/>
    <col min="771" max="771" width="60.5703125" style="4" customWidth="1"/>
    <col min="772" max="772" width="5.85546875" style="4" customWidth="1"/>
    <col min="773" max="773" width="12.140625" style="4" customWidth="1"/>
    <col min="774" max="774" width="11.5703125" style="4" customWidth="1"/>
    <col min="775" max="775" width="10.28515625" style="4" bestFit="1" customWidth="1"/>
    <col min="776" max="776" width="12.140625" style="4" customWidth="1"/>
    <col min="777" max="777" width="10.7109375" style="4" customWidth="1"/>
    <col min="778" max="780" width="10.28515625" style="4" customWidth="1"/>
    <col min="781" max="781" width="9.5703125" style="4" customWidth="1"/>
    <col min="782" max="782" width="10.42578125" style="4" customWidth="1"/>
    <col min="783" max="783" width="9.140625" style="4"/>
    <col min="784" max="784" width="10.42578125" style="4" bestFit="1" customWidth="1"/>
    <col min="785" max="1024" width="9.140625" style="4"/>
    <col min="1025" max="1025" width="4.28515625" style="4" customWidth="1"/>
    <col min="1026" max="1026" width="8.85546875" style="4" customWidth="1"/>
    <col min="1027" max="1027" width="60.5703125" style="4" customWidth="1"/>
    <col min="1028" max="1028" width="5.85546875" style="4" customWidth="1"/>
    <col min="1029" max="1029" width="12.140625" style="4" customWidth="1"/>
    <col min="1030" max="1030" width="11.5703125" style="4" customWidth="1"/>
    <col min="1031" max="1031" width="10.28515625" style="4" bestFit="1" customWidth="1"/>
    <col min="1032" max="1032" width="12.140625" style="4" customWidth="1"/>
    <col min="1033" max="1033" width="10.7109375" style="4" customWidth="1"/>
    <col min="1034" max="1036" width="10.28515625" style="4" customWidth="1"/>
    <col min="1037" max="1037" width="9.5703125" style="4" customWidth="1"/>
    <col min="1038" max="1038" width="10.42578125" style="4" customWidth="1"/>
    <col min="1039" max="1039" width="9.140625" style="4"/>
    <col min="1040" max="1040" width="10.42578125" style="4" bestFit="1" customWidth="1"/>
    <col min="1041" max="1280" width="9.140625" style="4"/>
    <col min="1281" max="1281" width="4.28515625" style="4" customWidth="1"/>
    <col min="1282" max="1282" width="8.85546875" style="4" customWidth="1"/>
    <col min="1283" max="1283" width="60.5703125" style="4" customWidth="1"/>
    <col min="1284" max="1284" width="5.85546875" style="4" customWidth="1"/>
    <col min="1285" max="1285" width="12.140625" style="4" customWidth="1"/>
    <col min="1286" max="1286" width="11.5703125" style="4" customWidth="1"/>
    <col min="1287" max="1287" width="10.28515625" style="4" bestFit="1" customWidth="1"/>
    <col min="1288" max="1288" width="12.140625" style="4" customWidth="1"/>
    <col min="1289" max="1289" width="10.7109375" style="4" customWidth="1"/>
    <col min="1290" max="1292" width="10.28515625" style="4" customWidth="1"/>
    <col min="1293" max="1293" width="9.5703125" style="4" customWidth="1"/>
    <col min="1294" max="1294" width="10.42578125" style="4" customWidth="1"/>
    <col min="1295" max="1295" width="9.140625" style="4"/>
    <col min="1296" max="1296" width="10.42578125" style="4" bestFit="1" customWidth="1"/>
    <col min="1297" max="1536" width="9.140625" style="4"/>
    <col min="1537" max="1537" width="4.28515625" style="4" customWidth="1"/>
    <col min="1538" max="1538" width="8.85546875" style="4" customWidth="1"/>
    <col min="1539" max="1539" width="60.5703125" style="4" customWidth="1"/>
    <col min="1540" max="1540" width="5.85546875" style="4" customWidth="1"/>
    <col min="1541" max="1541" width="12.140625" style="4" customWidth="1"/>
    <col min="1542" max="1542" width="11.5703125" style="4" customWidth="1"/>
    <col min="1543" max="1543" width="10.28515625" style="4" bestFit="1" customWidth="1"/>
    <col min="1544" max="1544" width="12.140625" style="4" customWidth="1"/>
    <col min="1545" max="1545" width="10.7109375" style="4" customWidth="1"/>
    <col min="1546" max="1548" width="10.28515625" style="4" customWidth="1"/>
    <col min="1549" max="1549" width="9.5703125" style="4" customWidth="1"/>
    <col min="1550" max="1550" width="10.42578125" style="4" customWidth="1"/>
    <col min="1551" max="1551" width="9.140625" style="4"/>
    <col min="1552" max="1552" width="10.42578125" style="4" bestFit="1" customWidth="1"/>
    <col min="1553" max="1792" width="9.140625" style="4"/>
    <col min="1793" max="1793" width="4.28515625" style="4" customWidth="1"/>
    <col min="1794" max="1794" width="8.85546875" style="4" customWidth="1"/>
    <col min="1795" max="1795" width="60.5703125" style="4" customWidth="1"/>
    <col min="1796" max="1796" width="5.85546875" style="4" customWidth="1"/>
    <col min="1797" max="1797" width="12.140625" style="4" customWidth="1"/>
    <col min="1798" max="1798" width="11.5703125" style="4" customWidth="1"/>
    <col min="1799" max="1799" width="10.28515625" style="4" bestFit="1" customWidth="1"/>
    <col min="1800" max="1800" width="12.140625" style="4" customWidth="1"/>
    <col min="1801" max="1801" width="10.7109375" style="4" customWidth="1"/>
    <col min="1802" max="1804" width="10.28515625" style="4" customWidth="1"/>
    <col min="1805" max="1805" width="9.5703125" style="4" customWidth="1"/>
    <col min="1806" max="1806" width="10.42578125" style="4" customWidth="1"/>
    <col min="1807" max="1807" width="9.140625" style="4"/>
    <col min="1808" max="1808" width="10.42578125" style="4" bestFit="1" customWidth="1"/>
    <col min="1809" max="2048" width="9.140625" style="4"/>
    <col min="2049" max="2049" width="4.28515625" style="4" customWidth="1"/>
    <col min="2050" max="2050" width="8.85546875" style="4" customWidth="1"/>
    <col min="2051" max="2051" width="60.5703125" style="4" customWidth="1"/>
    <col min="2052" max="2052" width="5.85546875" style="4" customWidth="1"/>
    <col min="2053" max="2053" width="12.140625" style="4" customWidth="1"/>
    <col min="2054" max="2054" width="11.5703125" style="4" customWidth="1"/>
    <col min="2055" max="2055" width="10.28515625" style="4" bestFit="1" customWidth="1"/>
    <col min="2056" max="2056" width="12.140625" style="4" customWidth="1"/>
    <col min="2057" max="2057" width="10.7109375" style="4" customWidth="1"/>
    <col min="2058" max="2060" width="10.28515625" style="4" customWidth="1"/>
    <col min="2061" max="2061" width="9.5703125" style="4" customWidth="1"/>
    <col min="2062" max="2062" width="10.42578125" style="4" customWidth="1"/>
    <col min="2063" max="2063" width="9.140625" style="4"/>
    <col min="2064" max="2064" width="10.42578125" style="4" bestFit="1" customWidth="1"/>
    <col min="2065" max="2304" width="9.140625" style="4"/>
    <col min="2305" max="2305" width="4.28515625" style="4" customWidth="1"/>
    <col min="2306" max="2306" width="8.85546875" style="4" customWidth="1"/>
    <col min="2307" max="2307" width="60.5703125" style="4" customWidth="1"/>
    <col min="2308" max="2308" width="5.85546875" style="4" customWidth="1"/>
    <col min="2309" max="2309" width="12.140625" style="4" customWidth="1"/>
    <col min="2310" max="2310" width="11.5703125" style="4" customWidth="1"/>
    <col min="2311" max="2311" width="10.28515625" style="4" bestFit="1" customWidth="1"/>
    <col min="2312" max="2312" width="12.140625" style="4" customWidth="1"/>
    <col min="2313" max="2313" width="10.7109375" style="4" customWidth="1"/>
    <col min="2314" max="2316" width="10.28515625" style="4" customWidth="1"/>
    <col min="2317" max="2317" width="9.5703125" style="4" customWidth="1"/>
    <col min="2318" max="2318" width="10.42578125" style="4" customWidth="1"/>
    <col min="2319" max="2319" width="9.140625" style="4"/>
    <col min="2320" max="2320" width="10.42578125" style="4" bestFit="1" customWidth="1"/>
    <col min="2321" max="2560" width="9.140625" style="4"/>
    <col min="2561" max="2561" width="4.28515625" style="4" customWidth="1"/>
    <col min="2562" max="2562" width="8.85546875" style="4" customWidth="1"/>
    <col min="2563" max="2563" width="60.5703125" style="4" customWidth="1"/>
    <col min="2564" max="2564" width="5.85546875" style="4" customWidth="1"/>
    <col min="2565" max="2565" width="12.140625" style="4" customWidth="1"/>
    <col min="2566" max="2566" width="11.5703125" style="4" customWidth="1"/>
    <col min="2567" max="2567" width="10.28515625" style="4" bestFit="1" customWidth="1"/>
    <col min="2568" max="2568" width="12.140625" style="4" customWidth="1"/>
    <col min="2569" max="2569" width="10.7109375" style="4" customWidth="1"/>
    <col min="2570" max="2572" width="10.28515625" style="4" customWidth="1"/>
    <col min="2573" max="2573" width="9.5703125" style="4" customWidth="1"/>
    <col min="2574" max="2574" width="10.42578125" style="4" customWidth="1"/>
    <col min="2575" max="2575" width="9.140625" style="4"/>
    <col min="2576" max="2576" width="10.42578125" style="4" bestFit="1" customWidth="1"/>
    <col min="2577" max="2816" width="9.140625" style="4"/>
    <col min="2817" max="2817" width="4.28515625" style="4" customWidth="1"/>
    <col min="2818" max="2818" width="8.85546875" style="4" customWidth="1"/>
    <col min="2819" max="2819" width="60.5703125" style="4" customWidth="1"/>
    <col min="2820" max="2820" width="5.85546875" style="4" customWidth="1"/>
    <col min="2821" max="2821" width="12.140625" style="4" customWidth="1"/>
    <col min="2822" max="2822" width="11.5703125" style="4" customWidth="1"/>
    <col min="2823" max="2823" width="10.28515625" style="4" bestFit="1" customWidth="1"/>
    <col min="2824" max="2824" width="12.140625" style="4" customWidth="1"/>
    <col min="2825" max="2825" width="10.7109375" style="4" customWidth="1"/>
    <col min="2826" max="2828" width="10.28515625" style="4" customWidth="1"/>
    <col min="2829" max="2829" width="9.5703125" style="4" customWidth="1"/>
    <col min="2830" max="2830" width="10.42578125" style="4" customWidth="1"/>
    <col min="2831" max="2831" width="9.140625" style="4"/>
    <col min="2832" max="2832" width="10.42578125" style="4" bestFit="1" customWidth="1"/>
    <col min="2833" max="3072" width="9.140625" style="4"/>
    <col min="3073" max="3073" width="4.28515625" style="4" customWidth="1"/>
    <col min="3074" max="3074" width="8.85546875" style="4" customWidth="1"/>
    <col min="3075" max="3075" width="60.5703125" style="4" customWidth="1"/>
    <col min="3076" max="3076" width="5.85546875" style="4" customWidth="1"/>
    <col min="3077" max="3077" width="12.140625" style="4" customWidth="1"/>
    <col min="3078" max="3078" width="11.5703125" style="4" customWidth="1"/>
    <col min="3079" max="3079" width="10.28515625" style="4" bestFit="1" customWidth="1"/>
    <col min="3080" max="3080" width="12.140625" style="4" customWidth="1"/>
    <col min="3081" max="3081" width="10.7109375" style="4" customWidth="1"/>
    <col min="3082" max="3084" width="10.28515625" style="4" customWidth="1"/>
    <col min="3085" max="3085" width="9.5703125" style="4" customWidth="1"/>
    <col min="3086" max="3086" width="10.42578125" style="4" customWidth="1"/>
    <col min="3087" max="3087" width="9.140625" style="4"/>
    <col min="3088" max="3088" width="10.42578125" style="4" bestFit="1" customWidth="1"/>
    <col min="3089" max="3328" width="9.140625" style="4"/>
    <col min="3329" max="3329" width="4.28515625" style="4" customWidth="1"/>
    <col min="3330" max="3330" width="8.85546875" style="4" customWidth="1"/>
    <col min="3331" max="3331" width="60.5703125" style="4" customWidth="1"/>
    <col min="3332" max="3332" width="5.85546875" style="4" customWidth="1"/>
    <col min="3333" max="3333" width="12.140625" style="4" customWidth="1"/>
    <col min="3334" max="3334" width="11.5703125" style="4" customWidth="1"/>
    <col min="3335" max="3335" width="10.28515625" style="4" bestFit="1" customWidth="1"/>
    <col min="3336" max="3336" width="12.140625" style="4" customWidth="1"/>
    <col min="3337" max="3337" width="10.7109375" style="4" customWidth="1"/>
    <col min="3338" max="3340" width="10.28515625" style="4" customWidth="1"/>
    <col min="3341" max="3341" width="9.5703125" style="4" customWidth="1"/>
    <col min="3342" max="3342" width="10.42578125" style="4" customWidth="1"/>
    <col min="3343" max="3343" width="9.140625" style="4"/>
    <col min="3344" max="3344" width="10.42578125" style="4" bestFit="1" customWidth="1"/>
    <col min="3345" max="3584" width="9.140625" style="4"/>
    <col min="3585" max="3585" width="4.28515625" style="4" customWidth="1"/>
    <col min="3586" max="3586" width="8.85546875" style="4" customWidth="1"/>
    <col min="3587" max="3587" width="60.5703125" style="4" customWidth="1"/>
    <col min="3588" max="3588" width="5.85546875" style="4" customWidth="1"/>
    <col min="3589" max="3589" width="12.140625" style="4" customWidth="1"/>
    <col min="3590" max="3590" width="11.5703125" style="4" customWidth="1"/>
    <col min="3591" max="3591" width="10.28515625" style="4" bestFit="1" customWidth="1"/>
    <col min="3592" max="3592" width="12.140625" style="4" customWidth="1"/>
    <col min="3593" max="3593" width="10.7109375" style="4" customWidth="1"/>
    <col min="3594" max="3596" width="10.28515625" style="4" customWidth="1"/>
    <col min="3597" max="3597" width="9.5703125" style="4" customWidth="1"/>
    <col min="3598" max="3598" width="10.42578125" style="4" customWidth="1"/>
    <col min="3599" max="3599" width="9.140625" style="4"/>
    <col min="3600" max="3600" width="10.42578125" style="4" bestFit="1" customWidth="1"/>
    <col min="3601" max="3840" width="9.140625" style="4"/>
    <col min="3841" max="3841" width="4.28515625" style="4" customWidth="1"/>
    <col min="3842" max="3842" width="8.85546875" style="4" customWidth="1"/>
    <col min="3843" max="3843" width="60.5703125" style="4" customWidth="1"/>
    <col min="3844" max="3844" width="5.85546875" style="4" customWidth="1"/>
    <col min="3845" max="3845" width="12.140625" style="4" customWidth="1"/>
    <col min="3846" max="3846" width="11.5703125" style="4" customWidth="1"/>
    <col min="3847" max="3847" width="10.28515625" style="4" bestFit="1" customWidth="1"/>
    <col min="3848" max="3848" width="12.140625" style="4" customWidth="1"/>
    <col min="3849" max="3849" width="10.7109375" style="4" customWidth="1"/>
    <col min="3850" max="3852" width="10.28515625" style="4" customWidth="1"/>
    <col min="3853" max="3853" width="9.5703125" style="4" customWidth="1"/>
    <col min="3854" max="3854" width="10.42578125" style="4" customWidth="1"/>
    <col min="3855" max="3855" width="9.140625" style="4"/>
    <col min="3856" max="3856" width="10.42578125" style="4" bestFit="1" customWidth="1"/>
    <col min="3857" max="4096" width="9.140625" style="4"/>
    <col min="4097" max="4097" width="4.28515625" style="4" customWidth="1"/>
    <col min="4098" max="4098" width="8.85546875" style="4" customWidth="1"/>
    <col min="4099" max="4099" width="60.5703125" style="4" customWidth="1"/>
    <col min="4100" max="4100" width="5.85546875" style="4" customWidth="1"/>
    <col min="4101" max="4101" width="12.140625" style="4" customWidth="1"/>
    <col min="4102" max="4102" width="11.5703125" style="4" customWidth="1"/>
    <col min="4103" max="4103" width="10.28515625" style="4" bestFit="1" customWidth="1"/>
    <col min="4104" max="4104" width="12.140625" style="4" customWidth="1"/>
    <col min="4105" max="4105" width="10.7109375" style="4" customWidth="1"/>
    <col min="4106" max="4108" width="10.28515625" style="4" customWidth="1"/>
    <col min="4109" max="4109" width="9.5703125" style="4" customWidth="1"/>
    <col min="4110" max="4110" width="10.42578125" style="4" customWidth="1"/>
    <col min="4111" max="4111" width="9.140625" style="4"/>
    <col min="4112" max="4112" width="10.42578125" style="4" bestFit="1" customWidth="1"/>
    <col min="4113" max="4352" width="9.140625" style="4"/>
    <col min="4353" max="4353" width="4.28515625" style="4" customWidth="1"/>
    <col min="4354" max="4354" width="8.85546875" style="4" customWidth="1"/>
    <col min="4355" max="4355" width="60.5703125" style="4" customWidth="1"/>
    <col min="4356" max="4356" width="5.85546875" style="4" customWidth="1"/>
    <col min="4357" max="4357" width="12.140625" style="4" customWidth="1"/>
    <col min="4358" max="4358" width="11.5703125" style="4" customWidth="1"/>
    <col min="4359" max="4359" width="10.28515625" style="4" bestFit="1" customWidth="1"/>
    <col min="4360" max="4360" width="12.140625" style="4" customWidth="1"/>
    <col min="4361" max="4361" width="10.7109375" style="4" customWidth="1"/>
    <col min="4362" max="4364" width="10.28515625" style="4" customWidth="1"/>
    <col min="4365" max="4365" width="9.5703125" style="4" customWidth="1"/>
    <col min="4366" max="4366" width="10.42578125" style="4" customWidth="1"/>
    <col min="4367" max="4367" width="9.140625" style="4"/>
    <col min="4368" max="4368" width="10.42578125" style="4" bestFit="1" customWidth="1"/>
    <col min="4369" max="4608" width="9.140625" style="4"/>
    <col min="4609" max="4609" width="4.28515625" style="4" customWidth="1"/>
    <col min="4610" max="4610" width="8.85546875" style="4" customWidth="1"/>
    <col min="4611" max="4611" width="60.5703125" style="4" customWidth="1"/>
    <col min="4612" max="4612" width="5.85546875" style="4" customWidth="1"/>
    <col min="4613" max="4613" width="12.140625" style="4" customWidth="1"/>
    <col min="4614" max="4614" width="11.5703125" style="4" customWidth="1"/>
    <col min="4615" max="4615" width="10.28515625" style="4" bestFit="1" customWidth="1"/>
    <col min="4616" max="4616" width="12.140625" style="4" customWidth="1"/>
    <col min="4617" max="4617" width="10.7109375" style="4" customWidth="1"/>
    <col min="4618" max="4620" width="10.28515625" style="4" customWidth="1"/>
    <col min="4621" max="4621" width="9.5703125" style="4" customWidth="1"/>
    <col min="4622" max="4622" width="10.42578125" style="4" customWidth="1"/>
    <col min="4623" max="4623" width="9.140625" style="4"/>
    <col min="4624" max="4624" width="10.42578125" style="4" bestFit="1" customWidth="1"/>
    <col min="4625" max="4864" width="9.140625" style="4"/>
    <col min="4865" max="4865" width="4.28515625" style="4" customWidth="1"/>
    <col min="4866" max="4866" width="8.85546875" style="4" customWidth="1"/>
    <col min="4867" max="4867" width="60.5703125" style="4" customWidth="1"/>
    <col min="4868" max="4868" width="5.85546875" style="4" customWidth="1"/>
    <col min="4869" max="4869" width="12.140625" style="4" customWidth="1"/>
    <col min="4870" max="4870" width="11.5703125" style="4" customWidth="1"/>
    <col min="4871" max="4871" width="10.28515625" style="4" bestFit="1" customWidth="1"/>
    <col min="4872" max="4872" width="12.140625" style="4" customWidth="1"/>
    <col min="4873" max="4873" width="10.7109375" style="4" customWidth="1"/>
    <col min="4874" max="4876" width="10.28515625" style="4" customWidth="1"/>
    <col min="4877" max="4877" width="9.5703125" style="4" customWidth="1"/>
    <col min="4878" max="4878" width="10.42578125" style="4" customWidth="1"/>
    <col min="4879" max="4879" width="9.140625" style="4"/>
    <col min="4880" max="4880" width="10.42578125" style="4" bestFit="1" customWidth="1"/>
    <col min="4881" max="5120" width="9.140625" style="4"/>
    <col min="5121" max="5121" width="4.28515625" style="4" customWidth="1"/>
    <col min="5122" max="5122" width="8.85546875" style="4" customWidth="1"/>
    <col min="5123" max="5123" width="60.5703125" style="4" customWidth="1"/>
    <col min="5124" max="5124" width="5.85546875" style="4" customWidth="1"/>
    <col min="5125" max="5125" width="12.140625" style="4" customWidth="1"/>
    <col min="5126" max="5126" width="11.5703125" style="4" customWidth="1"/>
    <col min="5127" max="5127" width="10.28515625" style="4" bestFit="1" customWidth="1"/>
    <col min="5128" max="5128" width="12.140625" style="4" customWidth="1"/>
    <col min="5129" max="5129" width="10.7109375" style="4" customWidth="1"/>
    <col min="5130" max="5132" width="10.28515625" style="4" customWidth="1"/>
    <col min="5133" max="5133" width="9.5703125" style="4" customWidth="1"/>
    <col min="5134" max="5134" width="10.42578125" style="4" customWidth="1"/>
    <col min="5135" max="5135" width="9.140625" style="4"/>
    <col min="5136" max="5136" width="10.42578125" style="4" bestFit="1" customWidth="1"/>
    <col min="5137" max="5376" width="9.140625" style="4"/>
    <col min="5377" max="5377" width="4.28515625" style="4" customWidth="1"/>
    <col min="5378" max="5378" width="8.85546875" style="4" customWidth="1"/>
    <col min="5379" max="5379" width="60.5703125" style="4" customWidth="1"/>
    <col min="5380" max="5380" width="5.85546875" style="4" customWidth="1"/>
    <col min="5381" max="5381" width="12.140625" style="4" customWidth="1"/>
    <col min="5382" max="5382" width="11.5703125" style="4" customWidth="1"/>
    <col min="5383" max="5383" width="10.28515625" style="4" bestFit="1" customWidth="1"/>
    <col min="5384" max="5384" width="12.140625" style="4" customWidth="1"/>
    <col min="5385" max="5385" width="10.7109375" style="4" customWidth="1"/>
    <col min="5386" max="5388" width="10.28515625" style="4" customWidth="1"/>
    <col min="5389" max="5389" width="9.5703125" style="4" customWidth="1"/>
    <col min="5390" max="5390" width="10.42578125" style="4" customWidth="1"/>
    <col min="5391" max="5391" width="9.140625" style="4"/>
    <col min="5392" max="5392" width="10.42578125" style="4" bestFit="1" customWidth="1"/>
    <col min="5393" max="5632" width="9.140625" style="4"/>
    <col min="5633" max="5633" width="4.28515625" style="4" customWidth="1"/>
    <col min="5634" max="5634" width="8.85546875" style="4" customWidth="1"/>
    <col min="5635" max="5635" width="60.5703125" style="4" customWidth="1"/>
    <col min="5636" max="5636" width="5.85546875" style="4" customWidth="1"/>
    <col min="5637" max="5637" width="12.140625" style="4" customWidth="1"/>
    <col min="5638" max="5638" width="11.5703125" style="4" customWidth="1"/>
    <col min="5639" max="5639" width="10.28515625" style="4" bestFit="1" customWidth="1"/>
    <col min="5640" max="5640" width="12.140625" style="4" customWidth="1"/>
    <col min="5641" max="5641" width="10.7109375" style="4" customWidth="1"/>
    <col min="5642" max="5644" width="10.28515625" style="4" customWidth="1"/>
    <col min="5645" max="5645" width="9.5703125" style="4" customWidth="1"/>
    <col min="5646" max="5646" width="10.42578125" style="4" customWidth="1"/>
    <col min="5647" max="5647" width="9.140625" style="4"/>
    <col min="5648" max="5648" width="10.42578125" style="4" bestFit="1" customWidth="1"/>
    <col min="5649" max="5888" width="9.140625" style="4"/>
    <col min="5889" max="5889" width="4.28515625" style="4" customWidth="1"/>
    <col min="5890" max="5890" width="8.85546875" style="4" customWidth="1"/>
    <col min="5891" max="5891" width="60.5703125" style="4" customWidth="1"/>
    <col min="5892" max="5892" width="5.85546875" style="4" customWidth="1"/>
    <col min="5893" max="5893" width="12.140625" style="4" customWidth="1"/>
    <col min="5894" max="5894" width="11.5703125" style="4" customWidth="1"/>
    <col min="5895" max="5895" width="10.28515625" style="4" bestFit="1" customWidth="1"/>
    <col min="5896" max="5896" width="12.140625" style="4" customWidth="1"/>
    <col min="5897" max="5897" width="10.7109375" style="4" customWidth="1"/>
    <col min="5898" max="5900" width="10.28515625" style="4" customWidth="1"/>
    <col min="5901" max="5901" width="9.5703125" style="4" customWidth="1"/>
    <col min="5902" max="5902" width="10.42578125" style="4" customWidth="1"/>
    <col min="5903" max="5903" width="9.140625" style="4"/>
    <col min="5904" max="5904" width="10.42578125" style="4" bestFit="1" customWidth="1"/>
    <col min="5905" max="6144" width="9.140625" style="4"/>
    <col min="6145" max="6145" width="4.28515625" style="4" customWidth="1"/>
    <col min="6146" max="6146" width="8.85546875" style="4" customWidth="1"/>
    <col min="6147" max="6147" width="60.5703125" style="4" customWidth="1"/>
    <col min="6148" max="6148" width="5.85546875" style="4" customWidth="1"/>
    <col min="6149" max="6149" width="12.140625" style="4" customWidth="1"/>
    <col min="6150" max="6150" width="11.5703125" style="4" customWidth="1"/>
    <col min="6151" max="6151" width="10.28515625" style="4" bestFit="1" customWidth="1"/>
    <col min="6152" max="6152" width="12.140625" style="4" customWidth="1"/>
    <col min="6153" max="6153" width="10.7109375" style="4" customWidth="1"/>
    <col min="6154" max="6156" width="10.28515625" style="4" customWidth="1"/>
    <col min="6157" max="6157" width="9.5703125" style="4" customWidth="1"/>
    <col min="6158" max="6158" width="10.42578125" style="4" customWidth="1"/>
    <col min="6159" max="6159" width="9.140625" style="4"/>
    <col min="6160" max="6160" width="10.42578125" style="4" bestFit="1" customWidth="1"/>
    <col min="6161" max="6400" width="9.140625" style="4"/>
    <col min="6401" max="6401" width="4.28515625" style="4" customWidth="1"/>
    <col min="6402" max="6402" width="8.85546875" style="4" customWidth="1"/>
    <col min="6403" max="6403" width="60.5703125" style="4" customWidth="1"/>
    <col min="6404" max="6404" width="5.85546875" style="4" customWidth="1"/>
    <col min="6405" max="6405" width="12.140625" style="4" customWidth="1"/>
    <col min="6406" max="6406" width="11.5703125" style="4" customWidth="1"/>
    <col min="6407" max="6407" width="10.28515625" style="4" bestFit="1" customWidth="1"/>
    <col min="6408" max="6408" width="12.140625" style="4" customWidth="1"/>
    <col min="6409" max="6409" width="10.7109375" style="4" customWidth="1"/>
    <col min="6410" max="6412" width="10.28515625" style="4" customWidth="1"/>
    <col min="6413" max="6413" width="9.5703125" style="4" customWidth="1"/>
    <col min="6414" max="6414" width="10.42578125" style="4" customWidth="1"/>
    <col min="6415" max="6415" width="9.140625" style="4"/>
    <col min="6416" max="6416" width="10.42578125" style="4" bestFit="1" customWidth="1"/>
    <col min="6417" max="6656" width="9.140625" style="4"/>
    <col min="6657" max="6657" width="4.28515625" style="4" customWidth="1"/>
    <col min="6658" max="6658" width="8.85546875" style="4" customWidth="1"/>
    <col min="6659" max="6659" width="60.5703125" style="4" customWidth="1"/>
    <col min="6660" max="6660" width="5.85546875" style="4" customWidth="1"/>
    <col min="6661" max="6661" width="12.140625" style="4" customWidth="1"/>
    <col min="6662" max="6662" width="11.5703125" style="4" customWidth="1"/>
    <col min="6663" max="6663" width="10.28515625" style="4" bestFit="1" customWidth="1"/>
    <col min="6664" max="6664" width="12.140625" style="4" customWidth="1"/>
    <col min="6665" max="6665" width="10.7109375" style="4" customWidth="1"/>
    <col min="6666" max="6668" width="10.28515625" style="4" customWidth="1"/>
    <col min="6669" max="6669" width="9.5703125" style="4" customWidth="1"/>
    <col min="6670" max="6670" width="10.42578125" style="4" customWidth="1"/>
    <col min="6671" max="6671" width="9.140625" style="4"/>
    <col min="6672" max="6672" width="10.42578125" style="4" bestFit="1" customWidth="1"/>
    <col min="6673" max="6912" width="9.140625" style="4"/>
    <col min="6913" max="6913" width="4.28515625" style="4" customWidth="1"/>
    <col min="6914" max="6914" width="8.85546875" style="4" customWidth="1"/>
    <col min="6915" max="6915" width="60.5703125" style="4" customWidth="1"/>
    <col min="6916" max="6916" width="5.85546875" style="4" customWidth="1"/>
    <col min="6917" max="6917" width="12.140625" style="4" customWidth="1"/>
    <col min="6918" max="6918" width="11.5703125" style="4" customWidth="1"/>
    <col min="6919" max="6919" width="10.28515625" style="4" bestFit="1" customWidth="1"/>
    <col min="6920" max="6920" width="12.140625" style="4" customWidth="1"/>
    <col min="6921" max="6921" width="10.7109375" style="4" customWidth="1"/>
    <col min="6922" max="6924" width="10.28515625" style="4" customWidth="1"/>
    <col min="6925" max="6925" width="9.5703125" style="4" customWidth="1"/>
    <col min="6926" max="6926" width="10.42578125" style="4" customWidth="1"/>
    <col min="6927" max="6927" width="9.140625" style="4"/>
    <col min="6928" max="6928" width="10.42578125" style="4" bestFit="1" customWidth="1"/>
    <col min="6929" max="7168" width="9.140625" style="4"/>
    <col min="7169" max="7169" width="4.28515625" style="4" customWidth="1"/>
    <col min="7170" max="7170" width="8.85546875" style="4" customWidth="1"/>
    <col min="7171" max="7171" width="60.5703125" style="4" customWidth="1"/>
    <col min="7172" max="7172" width="5.85546875" style="4" customWidth="1"/>
    <col min="7173" max="7173" width="12.140625" style="4" customWidth="1"/>
    <col min="7174" max="7174" width="11.5703125" style="4" customWidth="1"/>
    <col min="7175" max="7175" width="10.28515625" style="4" bestFit="1" customWidth="1"/>
    <col min="7176" max="7176" width="12.140625" style="4" customWidth="1"/>
    <col min="7177" max="7177" width="10.7109375" style="4" customWidth="1"/>
    <col min="7178" max="7180" width="10.28515625" style="4" customWidth="1"/>
    <col min="7181" max="7181" width="9.5703125" style="4" customWidth="1"/>
    <col min="7182" max="7182" width="10.42578125" style="4" customWidth="1"/>
    <col min="7183" max="7183" width="9.140625" style="4"/>
    <col min="7184" max="7184" width="10.42578125" style="4" bestFit="1" customWidth="1"/>
    <col min="7185" max="7424" width="9.140625" style="4"/>
    <col min="7425" max="7425" width="4.28515625" style="4" customWidth="1"/>
    <col min="7426" max="7426" width="8.85546875" style="4" customWidth="1"/>
    <col min="7427" max="7427" width="60.5703125" style="4" customWidth="1"/>
    <col min="7428" max="7428" width="5.85546875" style="4" customWidth="1"/>
    <col min="7429" max="7429" width="12.140625" style="4" customWidth="1"/>
    <col min="7430" max="7430" width="11.5703125" style="4" customWidth="1"/>
    <col min="7431" max="7431" width="10.28515625" style="4" bestFit="1" customWidth="1"/>
    <col min="7432" max="7432" width="12.140625" style="4" customWidth="1"/>
    <col min="7433" max="7433" width="10.7109375" style="4" customWidth="1"/>
    <col min="7434" max="7436" width="10.28515625" style="4" customWidth="1"/>
    <col min="7437" max="7437" width="9.5703125" style="4" customWidth="1"/>
    <col min="7438" max="7438" width="10.42578125" style="4" customWidth="1"/>
    <col min="7439" max="7439" width="9.140625" style="4"/>
    <col min="7440" max="7440" width="10.42578125" style="4" bestFit="1" customWidth="1"/>
    <col min="7441" max="7680" width="9.140625" style="4"/>
    <col min="7681" max="7681" width="4.28515625" style="4" customWidth="1"/>
    <col min="7682" max="7682" width="8.85546875" style="4" customWidth="1"/>
    <col min="7683" max="7683" width="60.5703125" style="4" customWidth="1"/>
    <col min="7684" max="7684" width="5.85546875" style="4" customWidth="1"/>
    <col min="7685" max="7685" width="12.140625" style="4" customWidth="1"/>
    <col min="7686" max="7686" width="11.5703125" style="4" customWidth="1"/>
    <col min="7687" max="7687" width="10.28515625" style="4" bestFit="1" customWidth="1"/>
    <col min="7688" max="7688" width="12.140625" style="4" customWidth="1"/>
    <col min="7689" max="7689" width="10.7109375" style="4" customWidth="1"/>
    <col min="7690" max="7692" width="10.28515625" style="4" customWidth="1"/>
    <col min="7693" max="7693" width="9.5703125" style="4" customWidth="1"/>
    <col min="7694" max="7694" width="10.42578125" style="4" customWidth="1"/>
    <col min="7695" max="7695" width="9.140625" style="4"/>
    <col min="7696" max="7696" width="10.42578125" style="4" bestFit="1" customWidth="1"/>
    <col min="7697" max="7936" width="9.140625" style="4"/>
    <col min="7937" max="7937" width="4.28515625" style="4" customWidth="1"/>
    <col min="7938" max="7938" width="8.85546875" style="4" customWidth="1"/>
    <col min="7939" max="7939" width="60.5703125" style="4" customWidth="1"/>
    <col min="7940" max="7940" width="5.85546875" style="4" customWidth="1"/>
    <col min="7941" max="7941" width="12.140625" style="4" customWidth="1"/>
    <col min="7942" max="7942" width="11.5703125" style="4" customWidth="1"/>
    <col min="7943" max="7943" width="10.28515625" style="4" bestFit="1" customWidth="1"/>
    <col min="7944" max="7944" width="12.140625" style="4" customWidth="1"/>
    <col min="7945" max="7945" width="10.7109375" style="4" customWidth="1"/>
    <col min="7946" max="7948" width="10.28515625" style="4" customWidth="1"/>
    <col min="7949" max="7949" width="9.5703125" style="4" customWidth="1"/>
    <col min="7950" max="7950" width="10.42578125" style="4" customWidth="1"/>
    <col min="7951" max="7951" width="9.140625" style="4"/>
    <col min="7952" max="7952" width="10.42578125" style="4" bestFit="1" customWidth="1"/>
    <col min="7953" max="8192" width="9.140625" style="4"/>
    <col min="8193" max="8193" width="4.28515625" style="4" customWidth="1"/>
    <col min="8194" max="8194" width="8.85546875" style="4" customWidth="1"/>
    <col min="8195" max="8195" width="60.5703125" style="4" customWidth="1"/>
    <col min="8196" max="8196" width="5.85546875" style="4" customWidth="1"/>
    <col min="8197" max="8197" width="12.140625" style="4" customWidth="1"/>
    <col min="8198" max="8198" width="11.5703125" style="4" customWidth="1"/>
    <col min="8199" max="8199" width="10.28515625" style="4" bestFit="1" customWidth="1"/>
    <col min="8200" max="8200" width="12.140625" style="4" customWidth="1"/>
    <col min="8201" max="8201" width="10.7109375" style="4" customWidth="1"/>
    <col min="8202" max="8204" width="10.28515625" style="4" customWidth="1"/>
    <col min="8205" max="8205" width="9.5703125" style="4" customWidth="1"/>
    <col min="8206" max="8206" width="10.42578125" style="4" customWidth="1"/>
    <col min="8207" max="8207" width="9.140625" style="4"/>
    <col min="8208" max="8208" width="10.42578125" style="4" bestFit="1" customWidth="1"/>
    <col min="8209" max="8448" width="9.140625" style="4"/>
    <col min="8449" max="8449" width="4.28515625" style="4" customWidth="1"/>
    <col min="8450" max="8450" width="8.85546875" style="4" customWidth="1"/>
    <col min="8451" max="8451" width="60.5703125" style="4" customWidth="1"/>
    <col min="8452" max="8452" width="5.85546875" style="4" customWidth="1"/>
    <col min="8453" max="8453" width="12.140625" style="4" customWidth="1"/>
    <col min="8454" max="8454" width="11.5703125" style="4" customWidth="1"/>
    <col min="8455" max="8455" width="10.28515625" style="4" bestFit="1" customWidth="1"/>
    <col min="8456" max="8456" width="12.140625" style="4" customWidth="1"/>
    <col min="8457" max="8457" width="10.7109375" style="4" customWidth="1"/>
    <col min="8458" max="8460" width="10.28515625" style="4" customWidth="1"/>
    <col min="8461" max="8461" width="9.5703125" style="4" customWidth="1"/>
    <col min="8462" max="8462" width="10.42578125" style="4" customWidth="1"/>
    <col min="8463" max="8463" width="9.140625" style="4"/>
    <col min="8464" max="8464" width="10.42578125" style="4" bestFit="1" customWidth="1"/>
    <col min="8465" max="8704" width="9.140625" style="4"/>
    <col min="8705" max="8705" width="4.28515625" style="4" customWidth="1"/>
    <col min="8706" max="8706" width="8.85546875" style="4" customWidth="1"/>
    <col min="8707" max="8707" width="60.5703125" style="4" customWidth="1"/>
    <col min="8708" max="8708" width="5.85546875" style="4" customWidth="1"/>
    <col min="8709" max="8709" width="12.140625" style="4" customWidth="1"/>
    <col min="8710" max="8710" width="11.5703125" style="4" customWidth="1"/>
    <col min="8711" max="8711" width="10.28515625" style="4" bestFit="1" customWidth="1"/>
    <col min="8712" max="8712" width="12.140625" style="4" customWidth="1"/>
    <col min="8713" max="8713" width="10.7109375" style="4" customWidth="1"/>
    <col min="8714" max="8716" width="10.28515625" style="4" customWidth="1"/>
    <col min="8717" max="8717" width="9.5703125" style="4" customWidth="1"/>
    <col min="8718" max="8718" width="10.42578125" style="4" customWidth="1"/>
    <col min="8719" max="8719" width="9.140625" style="4"/>
    <col min="8720" max="8720" width="10.42578125" style="4" bestFit="1" customWidth="1"/>
    <col min="8721" max="8960" width="9.140625" style="4"/>
    <col min="8961" max="8961" width="4.28515625" style="4" customWidth="1"/>
    <col min="8962" max="8962" width="8.85546875" style="4" customWidth="1"/>
    <col min="8963" max="8963" width="60.5703125" style="4" customWidth="1"/>
    <col min="8964" max="8964" width="5.85546875" style="4" customWidth="1"/>
    <col min="8965" max="8965" width="12.140625" style="4" customWidth="1"/>
    <col min="8966" max="8966" width="11.5703125" style="4" customWidth="1"/>
    <col min="8967" max="8967" width="10.28515625" style="4" bestFit="1" customWidth="1"/>
    <col min="8968" max="8968" width="12.140625" style="4" customWidth="1"/>
    <col min="8969" max="8969" width="10.7109375" style="4" customWidth="1"/>
    <col min="8970" max="8972" width="10.28515625" style="4" customWidth="1"/>
    <col min="8973" max="8973" width="9.5703125" style="4" customWidth="1"/>
    <col min="8974" max="8974" width="10.42578125" style="4" customWidth="1"/>
    <col min="8975" max="8975" width="9.140625" style="4"/>
    <col min="8976" max="8976" width="10.42578125" style="4" bestFit="1" customWidth="1"/>
    <col min="8977" max="9216" width="9.140625" style="4"/>
    <col min="9217" max="9217" width="4.28515625" style="4" customWidth="1"/>
    <col min="9218" max="9218" width="8.85546875" style="4" customWidth="1"/>
    <col min="9219" max="9219" width="60.5703125" style="4" customWidth="1"/>
    <col min="9220" max="9220" width="5.85546875" style="4" customWidth="1"/>
    <col min="9221" max="9221" width="12.140625" style="4" customWidth="1"/>
    <col min="9222" max="9222" width="11.5703125" style="4" customWidth="1"/>
    <col min="9223" max="9223" width="10.28515625" style="4" bestFit="1" customWidth="1"/>
    <col min="9224" max="9224" width="12.140625" style="4" customWidth="1"/>
    <col min="9225" max="9225" width="10.7109375" style="4" customWidth="1"/>
    <col min="9226" max="9228" width="10.28515625" style="4" customWidth="1"/>
    <col min="9229" max="9229" width="9.5703125" style="4" customWidth="1"/>
    <col min="9230" max="9230" width="10.42578125" style="4" customWidth="1"/>
    <col min="9231" max="9231" width="9.140625" style="4"/>
    <col min="9232" max="9232" width="10.42578125" style="4" bestFit="1" customWidth="1"/>
    <col min="9233" max="9472" width="9.140625" style="4"/>
    <col min="9473" max="9473" width="4.28515625" style="4" customWidth="1"/>
    <col min="9474" max="9474" width="8.85546875" style="4" customWidth="1"/>
    <col min="9475" max="9475" width="60.5703125" style="4" customWidth="1"/>
    <col min="9476" max="9476" width="5.85546875" style="4" customWidth="1"/>
    <col min="9477" max="9477" width="12.140625" style="4" customWidth="1"/>
    <col min="9478" max="9478" width="11.5703125" style="4" customWidth="1"/>
    <col min="9479" max="9479" width="10.28515625" style="4" bestFit="1" customWidth="1"/>
    <col min="9480" max="9480" width="12.140625" style="4" customWidth="1"/>
    <col min="9481" max="9481" width="10.7109375" style="4" customWidth="1"/>
    <col min="9482" max="9484" width="10.28515625" style="4" customWidth="1"/>
    <col min="9485" max="9485" width="9.5703125" style="4" customWidth="1"/>
    <col min="9486" max="9486" width="10.42578125" style="4" customWidth="1"/>
    <col min="9487" max="9487" width="9.140625" style="4"/>
    <col min="9488" max="9488" width="10.42578125" style="4" bestFit="1" customWidth="1"/>
    <col min="9489" max="9728" width="9.140625" style="4"/>
    <col min="9729" max="9729" width="4.28515625" style="4" customWidth="1"/>
    <col min="9730" max="9730" width="8.85546875" style="4" customWidth="1"/>
    <col min="9731" max="9731" width="60.5703125" style="4" customWidth="1"/>
    <col min="9732" max="9732" width="5.85546875" style="4" customWidth="1"/>
    <col min="9733" max="9733" width="12.140625" style="4" customWidth="1"/>
    <col min="9734" max="9734" width="11.5703125" style="4" customWidth="1"/>
    <col min="9735" max="9735" width="10.28515625" style="4" bestFit="1" customWidth="1"/>
    <col min="9736" max="9736" width="12.140625" style="4" customWidth="1"/>
    <col min="9737" max="9737" width="10.7109375" style="4" customWidth="1"/>
    <col min="9738" max="9740" width="10.28515625" style="4" customWidth="1"/>
    <col min="9741" max="9741" width="9.5703125" style="4" customWidth="1"/>
    <col min="9742" max="9742" width="10.42578125" style="4" customWidth="1"/>
    <col min="9743" max="9743" width="9.140625" style="4"/>
    <col min="9744" max="9744" width="10.42578125" style="4" bestFit="1" customWidth="1"/>
    <col min="9745" max="9984" width="9.140625" style="4"/>
    <col min="9985" max="9985" width="4.28515625" style="4" customWidth="1"/>
    <col min="9986" max="9986" width="8.85546875" style="4" customWidth="1"/>
    <col min="9987" max="9987" width="60.5703125" style="4" customWidth="1"/>
    <col min="9988" max="9988" width="5.85546875" style="4" customWidth="1"/>
    <col min="9989" max="9989" width="12.140625" style="4" customWidth="1"/>
    <col min="9990" max="9990" width="11.5703125" style="4" customWidth="1"/>
    <col min="9991" max="9991" width="10.28515625" style="4" bestFit="1" customWidth="1"/>
    <col min="9992" max="9992" width="12.140625" style="4" customWidth="1"/>
    <col min="9993" max="9993" width="10.7109375" style="4" customWidth="1"/>
    <col min="9994" max="9996" width="10.28515625" style="4" customWidth="1"/>
    <col min="9997" max="9997" width="9.5703125" style="4" customWidth="1"/>
    <col min="9998" max="9998" width="10.42578125" style="4" customWidth="1"/>
    <col min="9999" max="9999" width="9.140625" style="4"/>
    <col min="10000" max="10000" width="10.42578125" style="4" bestFit="1" customWidth="1"/>
    <col min="10001" max="10240" width="9.140625" style="4"/>
    <col min="10241" max="10241" width="4.28515625" style="4" customWidth="1"/>
    <col min="10242" max="10242" width="8.85546875" style="4" customWidth="1"/>
    <col min="10243" max="10243" width="60.5703125" style="4" customWidth="1"/>
    <col min="10244" max="10244" width="5.85546875" style="4" customWidth="1"/>
    <col min="10245" max="10245" width="12.140625" style="4" customWidth="1"/>
    <col min="10246" max="10246" width="11.5703125" style="4" customWidth="1"/>
    <col min="10247" max="10247" width="10.28515625" style="4" bestFit="1" customWidth="1"/>
    <col min="10248" max="10248" width="12.140625" style="4" customWidth="1"/>
    <col min="10249" max="10249" width="10.7109375" style="4" customWidth="1"/>
    <col min="10250" max="10252" width="10.28515625" style="4" customWidth="1"/>
    <col min="10253" max="10253" width="9.5703125" style="4" customWidth="1"/>
    <col min="10254" max="10254" width="10.42578125" style="4" customWidth="1"/>
    <col min="10255" max="10255" width="9.140625" style="4"/>
    <col min="10256" max="10256" width="10.42578125" style="4" bestFit="1" customWidth="1"/>
    <col min="10257" max="10496" width="9.140625" style="4"/>
    <col min="10497" max="10497" width="4.28515625" style="4" customWidth="1"/>
    <col min="10498" max="10498" width="8.85546875" style="4" customWidth="1"/>
    <col min="10499" max="10499" width="60.5703125" style="4" customWidth="1"/>
    <col min="10500" max="10500" width="5.85546875" style="4" customWidth="1"/>
    <col min="10501" max="10501" width="12.140625" style="4" customWidth="1"/>
    <col min="10502" max="10502" width="11.5703125" style="4" customWidth="1"/>
    <col min="10503" max="10503" width="10.28515625" style="4" bestFit="1" customWidth="1"/>
    <col min="10504" max="10504" width="12.140625" style="4" customWidth="1"/>
    <col min="10505" max="10505" width="10.7109375" style="4" customWidth="1"/>
    <col min="10506" max="10508" width="10.28515625" style="4" customWidth="1"/>
    <col min="10509" max="10509" width="9.5703125" style="4" customWidth="1"/>
    <col min="10510" max="10510" width="10.42578125" style="4" customWidth="1"/>
    <col min="10511" max="10511" width="9.140625" style="4"/>
    <col min="10512" max="10512" width="10.42578125" style="4" bestFit="1" customWidth="1"/>
    <col min="10513" max="10752" width="9.140625" style="4"/>
    <col min="10753" max="10753" width="4.28515625" style="4" customWidth="1"/>
    <col min="10754" max="10754" width="8.85546875" style="4" customWidth="1"/>
    <col min="10755" max="10755" width="60.5703125" style="4" customWidth="1"/>
    <col min="10756" max="10756" width="5.85546875" style="4" customWidth="1"/>
    <col min="10757" max="10757" width="12.140625" style="4" customWidth="1"/>
    <col min="10758" max="10758" width="11.5703125" style="4" customWidth="1"/>
    <col min="10759" max="10759" width="10.28515625" style="4" bestFit="1" customWidth="1"/>
    <col min="10760" max="10760" width="12.140625" style="4" customWidth="1"/>
    <col min="10761" max="10761" width="10.7109375" style="4" customWidth="1"/>
    <col min="10762" max="10764" width="10.28515625" style="4" customWidth="1"/>
    <col min="10765" max="10765" width="9.5703125" style="4" customWidth="1"/>
    <col min="10766" max="10766" width="10.42578125" style="4" customWidth="1"/>
    <col min="10767" max="10767" width="9.140625" style="4"/>
    <col min="10768" max="10768" width="10.42578125" style="4" bestFit="1" customWidth="1"/>
    <col min="10769" max="11008" width="9.140625" style="4"/>
    <col min="11009" max="11009" width="4.28515625" style="4" customWidth="1"/>
    <col min="11010" max="11010" width="8.85546875" style="4" customWidth="1"/>
    <col min="11011" max="11011" width="60.5703125" style="4" customWidth="1"/>
    <col min="11012" max="11012" width="5.85546875" style="4" customWidth="1"/>
    <col min="11013" max="11013" width="12.140625" style="4" customWidth="1"/>
    <col min="11014" max="11014" width="11.5703125" style="4" customWidth="1"/>
    <col min="11015" max="11015" width="10.28515625" style="4" bestFit="1" customWidth="1"/>
    <col min="11016" max="11016" width="12.140625" style="4" customWidth="1"/>
    <col min="11017" max="11017" width="10.7109375" style="4" customWidth="1"/>
    <col min="11018" max="11020" width="10.28515625" style="4" customWidth="1"/>
    <col min="11021" max="11021" width="9.5703125" style="4" customWidth="1"/>
    <col min="11022" max="11022" width="10.42578125" style="4" customWidth="1"/>
    <col min="11023" max="11023" width="9.140625" style="4"/>
    <col min="11024" max="11024" width="10.42578125" style="4" bestFit="1" customWidth="1"/>
    <col min="11025" max="11264" width="9.140625" style="4"/>
    <col min="11265" max="11265" width="4.28515625" style="4" customWidth="1"/>
    <col min="11266" max="11266" width="8.85546875" style="4" customWidth="1"/>
    <col min="11267" max="11267" width="60.5703125" style="4" customWidth="1"/>
    <col min="11268" max="11268" width="5.85546875" style="4" customWidth="1"/>
    <col min="11269" max="11269" width="12.140625" style="4" customWidth="1"/>
    <col min="11270" max="11270" width="11.5703125" style="4" customWidth="1"/>
    <col min="11271" max="11271" width="10.28515625" style="4" bestFit="1" customWidth="1"/>
    <col min="11272" max="11272" width="12.140625" style="4" customWidth="1"/>
    <col min="11273" max="11273" width="10.7109375" style="4" customWidth="1"/>
    <col min="11274" max="11276" width="10.28515625" style="4" customWidth="1"/>
    <col min="11277" max="11277" width="9.5703125" style="4" customWidth="1"/>
    <col min="11278" max="11278" width="10.42578125" style="4" customWidth="1"/>
    <col min="11279" max="11279" width="9.140625" style="4"/>
    <col min="11280" max="11280" width="10.42578125" style="4" bestFit="1" customWidth="1"/>
    <col min="11281" max="11520" width="9.140625" style="4"/>
    <col min="11521" max="11521" width="4.28515625" style="4" customWidth="1"/>
    <col min="11522" max="11522" width="8.85546875" style="4" customWidth="1"/>
    <col min="11523" max="11523" width="60.5703125" style="4" customWidth="1"/>
    <col min="11524" max="11524" width="5.85546875" style="4" customWidth="1"/>
    <col min="11525" max="11525" width="12.140625" style="4" customWidth="1"/>
    <col min="11526" max="11526" width="11.5703125" style="4" customWidth="1"/>
    <col min="11527" max="11527" width="10.28515625" style="4" bestFit="1" customWidth="1"/>
    <col min="11528" max="11528" width="12.140625" style="4" customWidth="1"/>
    <col min="11529" max="11529" width="10.7109375" style="4" customWidth="1"/>
    <col min="11530" max="11532" width="10.28515625" style="4" customWidth="1"/>
    <col min="11533" max="11533" width="9.5703125" style="4" customWidth="1"/>
    <col min="11534" max="11534" width="10.42578125" style="4" customWidth="1"/>
    <col min="11535" max="11535" width="9.140625" style="4"/>
    <col min="11536" max="11536" width="10.42578125" style="4" bestFit="1" customWidth="1"/>
    <col min="11537" max="11776" width="9.140625" style="4"/>
    <col min="11777" max="11777" width="4.28515625" style="4" customWidth="1"/>
    <col min="11778" max="11778" width="8.85546875" style="4" customWidth="1"/>
    <col min="11779" max="11779" width="60.5703125" style="4" customWidth="1"/>
    <col min="11780" max="11780" width="5.85546875" style="4" customWidth="1"/>
    <col min="11781" max="11781" width="12.140625" style="4" customWidth="1"/>
    <col min="11782" max="11782" width="11.5703125" style="4" customWidth="1"/>
    <col min="11783" max="11783" width="10.28515625" style="4" bestFit="1" customWidth="1"/>
    <col min="11784" max="11784" width="12.140625" style="4" customWidth="1"/>
    <col min="11785" max="11785" width="10.7109375" style="4" customWidth="1"/>
    <col min="11786" max="11788" width="10.28515625" style="4" customWidth="1"/>
    <col min="11789" max="11789" width="9.5703125" style="4" customWidth="1"/>
    <col min="11790" max="11790" width="10.42578125" style="4" customWidth="1"/>
    <col min="11791" max="11791" width="9.140625" style="4"/>
    <col min="11792" max="11792" width="10.42578125" style="4" bestFit="1" customWidth="1"/>
    <col min="11793" max="12032" width="9.140625" style="4"/>
    <col min="12033" max="12033" width="4.28515625" style="4" customWidth="1"/>
    <col min="12034" max="12034" width="8.85546875" style="4" customWidth="1"/>
    <col min="12035" max="12035" width="60.5703125" style="4" customWidth="1"/>
    <col min="12036" max="12036" width="5.85546875" style="4" customWidth="1"/>
    <col min="12037" max="12037" width="12.140625" style="4" customWidth="1"/>
    <col min="12038" max="12038" width="11.5703125" style="4" customWidth="1"/>
    <col min="12039" max="12039" width="10.28515625" style="4" bestFit="1" customWidth="1"/>
    <col min="12040" max="12040" width="12.140625" style="4" customWidth="1"/>
    <col min="12041" max="12041" width="10.7109375" style="4" customWidth="1"/>
    <col min="12042" max="12044" width="10.28515625" style="4" customWidth="1"/>
    <col min="12045" max="12045" width="9.5703125" style="4" customWidth="1"/>
    <col min="12046" max="12046" width="10.42578125" style="4" customWidth="1"/>
    <col min="12047" max="12047" width="9.140625" style="4"/>
    <col min="12048" max="12048" width="10.42578125" style="4" bestFit="1" customWidth="1"/>
    <col min="12049" max="12288" width="9.140625" style="4"/>
    <col min="12289" max="12289" width="4.28515625" style="4" customWidth="1"/>
    <col min="12290" max="12290" width="8.85546875" style="4" customWidth="1"/>
    <col min="12291" max="12291" width="60.5703125" style="4" customWidth="1"/>
    <col min="12292" max="12292" width="5.85546875" style="4" customWidth="1"/>
    <col min="12293" max="12293" width="12.140625" style="4" customWidth="1"/>
    <col min="12294" max="12294" width="11.5703125" style="4" customWidth="1"/>
    <col min="12295" max="12295" width="10.28515625" style="4" bestFit="1" customWidth="1"/>
    <col min="12296" max="12296" width="12.140625" style="4" customWidth="1"/>
    <col min="12297" max="12297" width="10.7109375" style="4" customWidth="1"/>
    <col min="12298" max="12300" width="10.28515625" style="4" customWidth="1"/>
    <col min="12301" max="12301" width="9.5703125" style="4" customWidth="1"/>
    <col min="12302" max="12302" width="10.42578125" style="4" customWidth="1"/>
    <col min="12303" max="12303" width="9.140625" style="4"/>
    <col min="12304" max="12304" width="10.42578125" style="4" bestFit="1" customWidth="1"/>
    <col min="12305" max="12544" width="9.140625" style="4"/>
    <col min="12545" max="12545" width="4.28515625" style="4" customWidth="1"/>
    <col min="12546" max="12546" width="8.85546875" style="4" customWidth="1"/>
    <col min="12547" max="12547" width="60.5703125" style="4" customWidth="1"/>
    <col min="12548" max="12548" width="5.85546875" style="4" customWidth="1"/>
    <col min="12549" max="12549" width="12.140625" style="4" customWidth="1"/>
    <col min="12550" max="12550" width="11.5703125" style="4" customWidth="1"/>
    <col min="12551" max="12551" width="10.28515625" style="4" bestFit="1" customWidth="1"/>
    <col min="12552" max="12552" width="12.140625" style="4" customWidth="1"/>
    <col min="12553" max="12553" width="10.7109375" style="4" customWidth="1"/>
    <col min="12554" max="12556" width="10.28515625" style="4" customWidth="1"/>
    <col min="12557" max="12557" width="9.5703125" style="4" customWidth="1"/>
    <col min="12558" max="12558" width="10.42578125" style="4" customWidth="1"/>
    <col min="12559" max="12559" width="9.140625" style="4"/>
    <col min="12560" max="12560" width="10.42578125" style="4" bestFit="1" customWidth="1"/>
    <col min="12561" max="12800" width="9.140625" style="4"/>
    <col min="12801" max="12801" width="4.28515625" style="4" customWidth="1"/>
    <col min="12802" max="12802" width="8.85546875" style="4" customWidth="1"/>
    <col min="12803" max="12803" width="60.5703125" style="4" customWidth="1"/>
    <col min="12804" max="12804" width="5.85546875" style="4" customWidth="1"/>
    <col min="12805" max="12805" width="12.140625" style="4" customWidth="1"/>
    <col min="12806" max="12806" width="11.5703125" style="4" customWidth="1"/>
    <col min="12807" max="12807" width="10.28515625" style="4" bestFit="1" customWidth="1"/>
    <col min="12808" max="12808" width="12.140625" style="4" customWidth="1"/>
    <col min="12809" max="12809" width="10.7109375" style="4" customWidth="1"/>
    <col min="12810" max="12812" width="10.28515625" style="4" customWidth="1"/>
    <col min="12813" max="12813" width="9.5703125" style="4" customWidth="1"/>
    <col min="12814" max="12814" width="10.42578125" style="4" customWidth="1"/>
    <col min="12815" max="12815" width="9.140625" style="4"/>
    <col min="12816" max="12816" width="10.42578125" style="4" bestFit="1" customWidth="1"/>
    <col min="12817" max="13056" width="9.140625" style="4"/>
    <col min="13057" max="13057" width="4.28515625" style="4" customWidth="1"/>
    <col min="13058" max="13058" width="8.85546875" style="4" customWidth="1"/>
    <col min="13059" max="13059" width="60.5703125" style="4" customWidth="1"/>
    <col min="13060" max="13060" width="5.85546875" style="4" customWidth="1"/>
    <col min="13061" max="13061" width="12.140625" style="4" customWidth="1"/>
    <col min="13062" max="13062" width="11.5703125" style="4" customWidth="1"/>
    <col min="13063" max="13063" width="10.28515625" style="4" bestFit="1" customWidth="1"/>
    <col min="13064" max="13064" width="12.140625" style="4" customWidth="1"/>
    <col min="13065" max="13065" width="10.7109375" style="4" customWidth="1"/>
    <col min="13066" max="13068" width="10.28515625" style="4" customWidth="1"/>
    <col min="13069" max="13069" width="9.5703125" style="4" customWidth="1"/>
    <col min="13070" max="13070" width="10.42578125" style="4" customWidth="1"/>
    <col min="13071" max="13071" width="9.140625" style="4"/>
    <col min="13072" max="13072" width="10.42578125" style="4" bestFit="1" customWidth="1"/>
    <col min="13073" max="13312" width="9.140625" style="4"/>
    <col min="13313" max="13313" width="4.28515625" style="4" customWidth="1"/>
    <col min="13314" max="13314" width="8.85546875" style="4" customWidth="1"/>
    <col min="13315" max="13315" width="60.5703125" style="4" customWidth="1"/>
    <col min="13316" max="13316" width="5.85546875" style="4" customWidth="1"/>
    <col min="13317" max="13317" width="12.140625" style="4" customWidth="1"/>
    <col min="13318" max="13318" width="11.5703125" style="4" customWidth="1"/>
    <col min="13319" max="13319" width="10.28515625" style="4" bestFit="1" customWidth="1"/>
    <col min="13320" max="13320" width="12.140625" style="4" customWidth="1"/>
    <col min="13321" max="13321" width="10.7109375" style="4" customWidth="1"/>
    <col min="13322" max="13324" width="10.28515625" style="4" customWidth="1"/>
    <col min="13325" max="13325" width="9.5703125" style="4" customWidth="1"/>
    <col min="13326" max="13326" width="10.42578125" style="4" customWidth="1"/>
    <col min="13327" max="13327" width="9.140625" style="4"/>
    <col min="13328" max="13328" width="10.42578125" style="4" bestFit="1" customWidth="1"/>
    <col min="13329" max="13568" width="9.140625" style="4"/>
    <col min="13569" max="13569" width="4.28515625" style="4" customWidth="1"/>
    <col min="13570" max="13570" width="8.85546875" style="4" customWidth="1"/>
    <col min="13571" max="13571" width="60.5703125" style="4" customWidth="1"/>
    <col min="13572" max="13572" width="5.85546875" style="4" customWidth="1"/>
    <col min="13573" max="13573" width="12.140625" style="4" customWidth="1"/>
    <col min="13574" max="13574" width="11.5703125" style="4" customWidth="1"/>
    <col min="13575" max="13575" width="10.28515625" style="4" bestFit="1" customWidth="1"/>
    <col min="13576" max="13576" width="12.140625" style="4" customWidth="1"/>
    <col min="13577" max="13577" width="10.7109375" style="4" customWidth="1"/>
    <col min="13578" max="13580" width="10.28515625" style="4" customWidth="1"/>
    <col min="13581" max="13581" width="9.5703125" style="4" customWidth="1"/>
    <col min="13582" max="13582" width="10.42578125" style="4" customWidth="1"/>
    <col min="13583" max="13583" width="9.140625" style="4"/>
    <col min="13584" max="13584" width="10.42578125" style="4" bestFit="1" customWidth="1"/>
    <col min="13585" max="13824" width="9.140625" style="4"/>
    <col min="13825" max="13825" width="4.28515625" style="4" customWidth="1"/>
    <col min="13826" max="13826" width="8.85546875" style="4" customWidth="1"/>
    <col min="13827" max="13827" width="60.5703125" style="4" customWidth="1"/>
    <col min="13828" max="13828" width="5.85546875" style="4" customWidth="1"/>
    <col min="13829" max="13829" width="12.140625" style="4" customWidth="1"/>
    <col min="13830" max="13830" width="11.5703125" style="4" customWidth="1"/>
    <col min="13831" max="13831" width="10.28515625" style="4" bestFit="1" customWidth="1"/>
    <col min="13832" max="13832" width="12.140625" style="4" customWidth="1"/>
    <col min="13833" max="13833" width="10.7109375" style="4" customWidth="1"/>
    <col min="13834" max="13836" width="10.28515625" style="4" customWidth="1"/>
    <col min="13837" max="13837" width="9.5703125" style="4" customWidth="1"/>
    <col min="13838" max="13838" width="10.42578125" style="4" customWidth="1"/>
    <col min="13839" max="13839" width="9.140625" style="4"/>
    <col min="13840" max="13840" width="10.42578125" style="4" bestFit="1" customWidth="1"/>
    <col min="13841" max="14080" width="9.140625" style="4"/>
    <col min="14081" max="14081" width="4.28515625" style="4" customWidth="1"/>
    <col min="14082" max="14082" width="8.85546875" style="4" customWidth="1"/>
    <col min="14083" max="14083" width="60.5703125" style="4" customWidth="1"/>
    <col min="14084" max="14084" width="5.85546875" style="4" customWidth="1"/>
    <col min="14085" max="14085" width="12.140625" style="4" customWidth="1"/>
    <col min="14086" max="14086" width="11.5703125" style="4" customWidth="1"/>
    <col min="14087" max="14087" width="10.28515625" style="4" bestFit="1" customWidth="1"/>
    <col min="14088" max="14088" width="12.140625" style="4" customWidth="1"/>
    <col min="14089" max="14089" width="10.7109375" style="4" customWidth="1"/>
    <col min="14090" max="14092" width="10.28515625" style="4" customWidth="1"/>
    <col min="14093" max="14093" width="9.5703125" style="4" customWidth="1"/>
    <col min="14094" max="14094" width="10.42578125" style="4" customWidth="1"/>
    <col min="14095" max="14095" width="9.140625" style="4"/>
    <col min="14096" max="14096" width="10.42578125" style="4" bestFit="1" customWidth="1"/>
    <col min="14097" max="14336" width="9.140625" style="4"/>
    <col min="14337" max="14337" width="4.28515625" style="4" customWidth="1"/>
    <col min="14338" max="14338" width="8.85546875" style="4" customWidth="1"/>
    <col min="14339" max="14339" width="60.5703125" style="4" customWidth="1"/>
    <col min="14340" max="14340" width="5.85546875" style="4" customWidth="1"/>
    <col min="14341" max="14341" width="12.140625" style="4" customWidth="1"/>
    <col min="14342" max="14342" width="11.5703125" style="4" customWidth="1"/>
    <col min="14343" max="14343" width="10.28515625" style="4" bestFit="1" customWidth="1"/>
    <col min="14344" max="14344" width="12.140625" style="4" customWidth="1"/>
    <col min="14345" max="14345" width="10.7109375" style="4" customWidth="1"/>
    <col min="14346" max="14348" width="10.28515625" style="4" customWidth="1"/>
    <col min="14349" max="14349" width="9.5703125" style="4" customWidth="1"/>
    <col min="14350" max="14350" width="10.42578125" style="4" customWidth="1"/>
    <col min="14351" max="14351" width="9.140625" style="4"/>
    <col min="14352" max="14352" width="10.42578125" style="4" bestFit="1" customWidth="1"/>
    <col min="14353" max="14592" width="9.140625" style="4"/>
    <col min="14593" max="14593" width="4.28515625" style="4" customWidth="1"/>
    <col min="14594" max="14594" width="8.85546875" style="4" customWidth="1"/>
    <col min="14595" max="14595" width="60.5703125" style="4" customWidth="1"/>
    <col min="14596" max="14596" width="5.85546875" style="4" customWidth="1"/>
    <col min="14597" max="14597" width="12.140625" style="4" customWidth="1"/>
    <col min="14598" max="14598" width="11.5703125" style="4" customWidth="1"/>
    <col min="14599" max="14599" width="10.28515625" style="4" bestFit="1" customWidth="1"/>
    <col min="14600" max="14600" width="12.140625" style="4" customWidth="1"/>
    <col min="14601" max="14601" width="10.7109375" style="4" customWidth="1"/>
    <col min="14602" max="14604" width="10.28515625" style="4" customWidth="1"/>
    <col min="14605" max="14605" width="9.5703125" style="4" customWidth="1"/>
    <col min="14606" max="14606" width="10.42578125" style="4" customWidth="1"/>
    <col min="14607" max="14607" width="9.140625" style="4"/>
    <col min="14608" max="14608" width="10.42578125" style="4" bestFit="1" customWidth="1"/>
    <col min="14609" max="14848" width="9.140625" style="4"/>
    <col min="14849" max="14849" width="4.28515625" style="4" customWidth="1"/>
    <col min="14850" max="14850" width="8.85546875" style="4" customWidth="1"/>
    <col min="14851" max="14851" width="60.5703125" style="4" customWidth="1"/>
    <col min="14852" max="14852" width="5.85546875" style="4" customWidth="1"/>
    <col min="14853" max="14853" width="12.140625" style="4" customWidth="1"/>
    <col min="14854" max="14854" width="11.5703125" style="4" customWidth="1"/>
    <col min="14855" max="14855" width="10.28515625" style="4" bestFit="1" customWidth="1"/>
    <col min="14856" max="14856" width="12.140625" style="4" customWidth="1"/>
    <col min="14857" max="14857" width="10.7109375" style="4" customWidth="1"/>
    <col min="14858" max="14860" width="10.28515625" style="4" customWidth="1"/>
    <col min="14861" max="14861" width="9.5703125" style="4" customWidth="1"/>
    <col min="14862" max="14862" width="10.42578125" style="4" customWidth="1"/>
    <col min="14863" max="14863" width="9.140625" style="4"/>
    <col min="14864" max="14864" width="10.42578125" style="4" bestFit="1" customWidth="1"/>
    <col min="14865" max="15104" width="9.140625" style="4"/>
    <col min="15105" max="15105" width="4.28515625" style="4" customWidth="1"/>
    <col min="15106" max="15106" width="8.85546875" style="4" customWidth="1"/>
    <col min="15107" max="15107" width="60.5703125" style="4" customWidth="1"/>
    <col min="15108" max="15108" width="5.85546875" style="4" customWidth="1"/>
    <col min="15109" max="15109" width="12.140625" style="4" customWidth="1"/>
    <col min="15110" max="15110" width="11.5703125" style="4" customWidth="1"/>
    <col min="15111" max="15111" width="10.28515625" style="4" bestFit="1" customWidth="1"/>
    <col min="15112" max="15112" width="12.140625" style="4" customWidth="1"/>
    <col min="15113" max="15113" width="10.7109375" style="4" customWidth="1"/>
    <col min="15114" max="15116" width="10.28515625" style="4" customWidth="1"/>
    <col min="15117" max="15117" width="9.5703125" style="4" customWidth="1"/>
    <col min="15118" max="15118" width="10.42578125" style="4" customWidth="1"/>
    <col min="15119" max="15119" width="9.140625" style="4"/>
    <col min="15120" max="15120" width="10.42578125" style="4" bestFit="1" customWidth="1"/>
    <col min="15121" max="15360" width="9.140625" style="4"/>
    <col min="15361" max="15361" width="4.28515625" style="4" customWidth="1"/>
    <col min="15362" max="15362" width="8.85546875" style="4" customWidth="1"/>
    <col min="15363" max="15363" width="60.5703125" style="4" customWidth="1"/>
    <col min="15364" max="15364" width="5.85546875" style="4" customWidth="1"/>
    <col min="15365" max="15365" width="12.140625" style="4" customWidth="1"/>
    <col min="15366" max="15366" width="11.5703125" style="4" customWidth="1"/>
    <col min="15367" max="15367" width="10.28515625" style="4" bestFit="1" customWidth="1"/>
    <col min="15368" max="15368" width="12.140625" style="4" customWidth="1"/>
    <col min="15369" max="15369" width="10.7109375" style="4" customWidth="1"/>
    <col min="15370" max="15372" width="10.28515625" style="4" customWidth="1"/>
    <col min="15373" max="15373" width="9.5703125" style="4" customWidth="1"/>
    <col min="15374" max="15374" width="10.42578125" style="4" customWidth="1"/>
    <col min="15375" max="15375" width="9.140625" style="4"/>
    <col min="15376" max="15376" width="10.42578125" style="4" bestFit="1" customWidth="1"/>
    <col min="15377" max="15616" width="9.140625" style="4"/>
    <col min="15617" max="15617" width="4.28515625" style="4" customWidth="1"/>
    <col min="15618" max="15618" width="8.85546875" style="4" customWidth="1"/>
    <col min="15619" max="15619" width="60.5703125" style="4" customWidth="1"/>
    <col min="15620" max="15620" width="5.85546875" style="4" customWidth="1"/>
    <col min="15621" max="15621" width="12.140625" style="4" customWidth="1"/>
    <col min="15622" max="15622" width="11.5703125" style="4" customWidth="1"/>
    <col min="15623" max="15623" width="10.28515625" style="4" bestFit="1" customWidth="1"/>
    <col min="15624" max="15624" width="12.140625" style="4" customWidth="1"/>
    <col min="15625" max="15625" width="10.7109375" style="4" customWidth="1"/>
    <col min="15626" max="15628" width="10.28515625" style="4" customWidth="1"/>
    <col min="15629" max="15629" width="9.5703125" style="4" customWidth="1"/>
    <col min="15630" max="15630" width="10.42578125" style="4" customWidth="1"/>
    <col min="15631" max="15631" width="9.140625" style="4"/>
    <col min="15632" max="15632" width="10.42578125" style="4" bestFit="1" customWidth="1"/>
    <col min="15633" max="15872" width="9.140625" style="4"/>
    <col min="15873" max="15873" width="4.28515625" style="4" customWidth="1"/>
    <col min="15874" max="15874" width="8.85546875" style="4" customWidth="1"/>
    <col min="15875" max="15875" width="60.5703125" style="4" customWidth="1"/>
    <col min="15876" max="15876" width="5.85546875" style="4" customWidth="1"/>
    <col min="15877" max="15877" width="12.140625" style="4" customWidth="1"/>
    <col min="15878" max="15878" width="11.5703125" style="4" customWidth="1"/>
    <col min="15879" max="15879" width="10.28515625" style="4" bestFit="1" customWidth="1"/>
    <col min="15880" max="15880" width="12.140625" style="4" customWidth="1"/>
    <col min="15881" max="15881" width="10.7109375" style="4" customWidth="1"/>
    <col min="15882" max="15884" width="10.28515625" style="4" customWidth="1"/>
    <col min="15885" max="15885" width="9.5703125" style="4" customWidth="1"/>
    <col min="15886" max="15886" width="10.42578125" style="4" customWidth="1"/>
    <col min="15887" max="15887" width="9.140625" style="4"/>
    <col min="15888" max="15888" width="10.42578125" style="4" bestFit="1" customWidth="1"/>
    <col min="15889" max="16128" width="9.140625" style="4"/>
    <col min="16129" max="16129" width="4.28515625" style="4" customWidth="1"/>
    <col min="16130" max="16130" width="8.85546875" style="4" customWidth="1"/>
    <col min="16131" max="16131" width="60.5703125" style="4" customWidth="1"/>
    <col min="16132" max="16132" width="5.85546875" style="4" customWidth="1"/>
    <col min="16133" max="16133" width="12.140625" style="4" customWidth="1"/>
    <col min="16134" max="16134" width="11.5703125" style="4" customWidth="1"/>
    <col min="16135" max="16135" width="10.28515625" style="4" bestFit="1" customWidth="1"/>
    <col min="16136" max="16136" width="12.140625" style="4" customWidth="1"/>
    <col min="16137" max="16137" width="10.7109375" style="4" customWidth="1"/>
    <col min="16138" max="16140" width="10.28515625" style="4" customWidth="1"/>
    <col min="16141" max="16141" width="9.5703125" style="4" customWidth="1"/>
    <col min="16142" max="16142" width="10.42578125" style="4" customWidth="1"/>
    <col min="16143" max="16143" width="9.140625" style="4"/>
    <col min="16144" max="16144" width="10.42578125" style="4" bestFit="1" customWidth="1"/>
    <col min="16145" max="16384" width="9.140625" style="4"/>
  </cols>
  <sheetData>
    <row r="1" spans="1:14" ht="50.45" customHeight="1">
      <c r="A1" s="3" t="s">
        <v>0</v>
      </c>
      <c r="B1" s="3" t="s">
        <v>0</v>
      </c>
      <c r="M1" s="132" t="s">
        <v>1</v>
      </c>
      <c r="N1" s="132"/>
    </row>
    <row r="2" spans="1:14">
      <c r="A2" s="3"/>
      <c r="B2" s="3"/>
      <c r="M2" s="133" t="s">
        <v>2</v>
      </c>
      <c r="N2" s="133"/>
    </row>
    <row r="3" spans="1:14">
      <c r="A3" s="3"/>
      <c r="B3" s="3"/>
      <c r="M3" s="5" t="s">
        <v>3</v>
      </c>
      <c r="N3" s="6"/>
    </row>
    <row r="4" spans="1:14">
      <c r="A4" s="3"/>
      <c r="B4" s="3"/>
      <c r="M4" s="7" t="s">
        <v>4</v>
      </c>
      <c r="N4" s="6"/>
    </row>
    <row r="5" spans="1:14">
      <c r="A5" s="3"/>
      <c r="B5" s="3"/>
      <c r="N5" s="8"/>
    </row>
    <row r="6" spans="1:14">
      <c r="N6" s="8"/>
    </row>
    <row r="7" spans="1:14" ht="12" customHeight="1">
      <c r="A7" s="134" t="s">
        <v>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</row>
    <row r="9" spans="1:14" ht="25.9" customHeight="1">
      <c r="A9" s="135" t="s">
        <v>6</v>
      </c>
      <c r="B9" s="135" t="s">
        <v>7</v>
      </c>
      <c r="C9" s="137" t="s">
        <v>8</v>
      </c>
      <c r="D9" s="137"/>
      <c r="E9" s="139" t="s">
        <v>9</v>
      </c>
      <c r="F9" s="139" t="s">
        <v>10</v>
      </c>
      <c r="G9" s="139" t="s">
        <v>11</v>
      </c>
      <c r="H9" s="139" t="s">
        <v>12</v>
      </c>
      <c r="I9" s="141" t="s">
        <v>13</v>
      </c>
      <c r="J9" s="142"/>
      <c r="K9" s="141" t="s">
        <v>14</v>
      </c>
      <c r="L9" s="142"/>
      <c r="M9" s="141" t="s">
        <v>15</v>
      </c>
      <c r="N9" s="142"/>
    </row>
    <row r="10" spans="1:14" ht="46.15" customHeight="1">
      <c r="A10" s="136"/>
      <c r="B10" s="136"/>
      <c r="C10" s="138"/>
      <c r="D10" s="138"/>
      <c r="E10" s="140"/>
      <c r="F10" s="140"/>
      <c r="G10" s="140"/>
      <c r="H10" s="140"/>
      <c r="I10" s="9" t="s">
        <v>16</v>
      </c>
      <c r="J10" s="10" t="s">
        <v>17</v>
      </c>
      <c r="K10" s="9" t="s">
        <v>16</v>
      </c>
      <c r="L10" s="10" t="s">
        <v>18</v>
      </c>
      <c r="M10" s="9" t="s">
        <v>16</v>
      </c>
      <c r="N10" s="9" t="s">
        <v>18</v>
      </c>
    </row>
    <row r="11" spans="1:14">
      <c r="A11" s="11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43">
        <v>9</v>
      </c>
      <c r="J11" s="144"/>
      <c r="K11" s="145">
        <v>10</v>
      </c>
      <c r="L11" s="146"/>
      <c r="M11" s="147">
        <v>11</v>
      </c>
      <c r="N11" s="148"/>
    </row>
    <row r="12" spans="1:14" ht="31.5">
      <c r="A12" s="13">
        <v>1</v>
      </c>
      <c r="B12" s="14">
        <v>11111</v>
      </c>
      <c r="C12" s="15" t="s">
        <v>19</v>
      </c>
      <c r="D12" s="16">
        <v>90</v>
      </c>
      <c r="E12" s="17">
        <f>484634.77118+3880.7556</f>
        <v>488515.52677999996</v>
      </c>
      <c r="F12" s="17">
        <v>545088.6</v>
      </c>
      <c r="G12" s="17">
        <v>590708</v>
      </c>
      <c r="H12" s="17">
        <f>619839.13107+4592.63765</f>
        <v>624431.76872000005</v>
      </c>
      <c r="I12" s="18">
        <v>562429</v>
      </c>
      <c r="J12" s="18">
        <f>604829+8000</f>
        <v>612829</v>
      </c>
      <c r="K12" s="18">
        <v>628233.30000000005</v>
      </c>
      <c r="L12" s="18">
        <v>628233.30000000005</v>
      </c>
      <c r="M12" s="18">
        <v>711160.2</v>
      </c>
      <c r="N12" s="18">
        <v>711160.2</v>
      </c>
    </row>
    <row r="13" spans="1:14">
      <c r="A13" s="13">
        <v>2</v>
      </c>
      <c r="B13" s="13">
        <v>11122100</v>
      </c>
      <c r="C13" s="19" t="s">
        <v>20</v>
      </c>
      <c r="D13" s="16">
        <v>100</v>
      </c>
      <c r="E13" s="17">
        <v>13.548</v>
      </c>
      <c r="F13" s="17"/>
      <c r="G13" s="17"/>
      <c r="H13" s="17">
        <v>-1.04</v>
      </c>
      <c r="I13" s="18"/>
      <c r="J13" s="18"/>
      <c r="K13" s="18"/>
      <c r="L13" s="18"/>
      <c r="M13" s="20"/>
      <c r="N13" s="20"/>
    </row>
    <row r="14" spans="1:14">
      <c r="A14" s="13">
        <v>3</v>
      </c>
      <c r="B14" s="13">
        <v>11122200</v>
      </c>
      <c r="C14" s="19" t="s">
        <v>21</v>
      </c>
      <c r="D14" s="16">
        <v>100</v>
      </c>
      <c r="E14" s="17">
        <v>0</v>
      </c>
      <c r="F14" s="17"/>
      <c r="G14" s="17"/>
      <c r="H14" s="17"/>
      <c r="I14" s="18"/>
      <c r="J14" s="18"/>
      <c r="K14" s="18"/>
      <c r="L14" s="18"/>
      <c r="M14" s="20"/>
      <c r="N14" s="20"/>
    </row>
    <row r="15" spans="1:14">
      <c r="A15" s="13">
        <v>4</v>
      </c>
      <c r="B15" s="13">
        <v>11122300</v>
      </c>
      <c r="C15" s="19" t="s">
        <v>22</v>
      </c>
      <c r="D15" s="16">
        <v>100</v>
      </c>
      <c r="E15" s="17">
        <v>56591.808539999998</v>
      </c>
      <c r="F15" s="17">
        <v>76414.600000000006</v>
      </c>
      <c r="G15" s="17">
        <v>76414.600000000006</v>
      </c>
      <c r="H15" s="17">
        <v>28711.7781</v>
      </c>
      <c r="I15" s="18">
        <v>49500</v>
      </c>
      <c r="J15" s="18">
        <v>49500</v>
      </c>
      <c r="K15" s="18">
        <v>49500</v>
      </c>
      <c r="L15" s="18">
        <v>49500</v>
      </c>
      <c r="M15" s="18">
        <v>49500</v>
      </c>
      <c r="N15" s="18">
        <v>49500</v>
      </c>
    </row>
    <row r="16" spans="1:14" ht="31.5">
      <c r="A16" s="13">
        <v>5</v>
      </c>
      <c r="B16" s="13">
        <v>11125100</v>
      </c>
      <c r="C16" s="21" t="s">
        <v>23</v>
      </c>
      <c r="D16" s="16"/>
      <c r="E16" s="17">
        <v>0</v>
      </c>
      <c r="F16" s="17"/>
      <c r="G16" s="17"/>
      <c r="H16" s="17">
        <v>1.7103299999999999</v>
      </c>
      <c r="I16" s="18"/>
      <c r="J16" s="18"/>
      <c r="K16" s="20"/>
      <c r="L16" s="20"/>
      <c r="M16" s="20"/>
      <c r="N16" s="20"/>
    </row>
    <row r="17" spans="1:16">
      <c r="A17" s="13">
        <v>6</v>
      </c>
      <c r="B17" s="14">
        <v>11462</v>
      </c>
      <c r="C17" s="19" t="s">
        <v>24</v>
      </c>
      <c r="D17" s="16">
        <v>50</v>
      </c>
      <c r="E17" s="17">
        <f>21.5+34.36865+1940.475</f>
        <v>1996.3436499999998</v>
      </c>
      <c r="F17" s="17">
        <v>2200</v>
      </c>
      <c r="G17" s="17">
        <v>2200</v>
      </c>
      <c r="H17" s="17">
        <f>136.1755+0.40869+58.3655-21.5+39.05895+2319.63241</f>
        <v>2532.1410500000002</v>
      </c>
      <c r="I17" s="22">
        <v>3330.4</v>
      </c>
      <c r="J17" s="17">
        <v>3330.4</v>
      </c>
      <c r="K17" s="22">
        <v>3490.3</v>
      </c>
      <c r="L17" s="22">
        <v>3490.3</v>
      </c>
      <c r="M17" s="22">
        <v>3863.7</v>
      </c>
      <c r="N17" s="22">
        <v>3863.7</v>
      </c>
    </row>
    <row r="18" spans="1:16">
      <c r="A18" s="13"/>
      <c r="B18" s="23"/>
      <c r="C18" s="24" t="s">
        <v>25</v>
      </c>
      <c r="D18" s="24"/>
      <c r="E18" s="25">
        <f t="shared" ref="E18:N18" si="0">SUM(E12:E17)</f>
        <v>547117.22697000008</v>
      </c>
      <c r="F18" s="25">
        <f t="shared" si="0"/>
        <v>623703.19999999995</v>
      </c>
      <c r="G18" s="25">
        <f t="shared" si="0"/>
        <v>669322.6</v>
      </c>
      <c r="H18" s="25">
        <f t="shared" si="0"/>
        <v>655676.35820000002</v>
      </c>
      <c r="I18" s="26">
        <f t="shared" si="0"/>
        <v>615259.4</v>
      </c>
      <c r="J18" s="26">
        <f t="shared" si="0"/>
        <v>665659.4</v>
      </c>
      <c r="K18" s="26">
        <f t="shared" si="0"/>
        <v>681223.60000000009</v>
      </c>
      <c r="L18" s="26">
        <f t="shared" si="0"/>
        <v>681223.60000000009</v>
      </c>
      <c r="M18" s="26">
        <f t="shared" si="0"/>
        <v>764523.89999999991</v>
      </c>
      <c r="N18" s="26">
        <f t="shared" si="0"/>
        <v>764523.89999999991</v>
      </c>
    </row>
    <row r="19" spans="1:16">
      <c r="A19" s="13">
        <v>7</v>
      </c>
      <c r="B19" s="13">
        <v>11311100</v>
      </c>
      <c r="C19" s="19" t="s">
        <v>26</v>
      </c>
      <c r="D19" s="16">
        <v>100</v>
      </c>
      <c r="E19" s="17">
        <v>4360.6565600000004</v>
      </c>
      <c r="F19" s="17">
        <v>4501.8</v>
      </c>
      <c r="G19" s="17">
        <v>12000</v>
      </c>
      <c r="H19" s="17">
        <v>17183.594349999999</v>
      </c>
      <c r="I19" s="18">
        <v>9500</v>
      </c>
      <c r="J19" s="18">
        <f>17200+500</f>
        <v>17700</v>
      </c>
      <c r="K19" s="18">
        <v>9500</v>
      </c>
      <c r="L19" s="18">
        <v>17200</v>
      </c>
      <c r="M19" s="18">
        <v>9500</v>
      </c>
      <c r="N19" s="18">
        <v>17200</v>
      </c>
    </row>
    <row r="20" spans="1:16">
      <c r="A20" s="13">
        <v>8</v>
      </c>
      <c r="B20" s="13">
        <v>11311200</v>
      </c>
      <c r="C20" s="19" t="s">
        <v>27</v>
      </c>
      <c r="D20" s="16">
        <v>100</v>
      </c>
      <c r="E20" s="17">
        <v>34993.996229999997</v>
      </c>
      <c r="F20" s="17">
        <v>39295.800000000003</v>
      </c>
      <c r="G20" s="17">
        <v>52990</v>
      </c>
      <c r="H20" s="17">
        <v>66110.572450000007</v>
      </c>
      <c r="I20" s="18">
        <v>46300</v>
      </c>
      <c r="J20" s="18">
        <v>66000</v>
      </c>
      <c r="K20" s="18">
        <v>46300</v>
      </c>
      <c r="L20" s="18">
        <v>66000</v>
      </c>
      <c r="M20" s="18">
        <v>46300</v>
      </c>
      <c r="N20" s="18">
        <v>66000</v>
      </c>
    </row>
    <row r="21" spans="1:16">
      <c r="A21" s="13">
        <v>9</v>
      </c>
      <c r="B21" s="13">
        <v>11311300</v>
      </c>
      <c r="C21" s="19" t="s">
        <v>28</v>
      </c>
      <c r="D21" s="16">
        <v>100</v>
      </c>
      <c r="E21" s="17">
        <v>198.02488</v>
      </c>
      <c r="F21" s="17">
        <v>0</v>
      </c>
      <c r="G21" s="17"/>
      <c r="H21" s="17">
        <v>51.890639999999998</v>
      </c>
      <c r="I21" s="18"/>
      <c r="J21" s="18"/>
      <c r="K21" s="18"/>
      <c r="L21" s="18"/>
      <c r="M21" s="18"/>
      <c r="N21" s="18"/>
    </row>
    <row r="22" spans="1:16">
      <c r="A22" s="13">
        <v>10</v>
      </c>
      <c r="B22" s="14">
        <v>11312</v>
      </c>
      <c r="C22" s="19" t="s">
        <v>29</v>
      </c>
      <c r="D22" s="16">
        <v>100</v>
      </c>
      <c r="E22" s="17">
        <f>1713.92436+10830.81535</f>
        <v>12544.739710000002</v>
      </c>
      <c r="F22" s="17">
        <f>1787.8+14379.2</f>
        <v>16167</v>
      </c>
      <c r="G22" s="17">
        <f>1787.8+14379.2</f>
        <v>16167</v>
      </c>
      <c r="H22" s="17">
        <f>1934.90386+19556.53233</f>
        <v>21491.436189999997</v>
      </c>
      <c r="I22" s="18">
        <v>16300</v>
      </c>
      <c r="J22" s="18">
        <f>21000+4400+2000</f>
        <v>27400</v>
      </c>
      <c r="K22" s="18">
        <v>16300</v>
      </c>
      <c r="L22" s="18">
        <v>21000</v>
      </c>
      <c r="M22" s="18">
        <v>16300</v>
      </c>
      <c r="N22" s="18">
        <v>21000</v>
      </c>
    </row>
    <row r="23" spans="1:16">
      <c r="A23" s="13">
        <v>11</v>
      </c>
      <c r="B23" s="13">
        <v>11321100</v>
      </c>
      <c r="C23" s="19" t="s">
        <v>30</v>
      </c>
      <c r="D23" s="16">
        <v>100</v>
      </c>
      <c r="E23" s="17">
        <v>8068.0703599999997</v>
      </c>
      <c r="F23" s="17">
        <v>10650</v>
      </c>
      <c r="G23" s="17">
        <v>13200</v>
      </c>
      <c r="H23" s="17">
        <v>11904.29384</v>
      </c>
      <c r="I23" s="18">
        <v>13250</v>
      </c>
      <c r="J23" s="18">
        <f>11900+100</f>
        <v>12000</v>
      </c>
      <c r="K23" s="18">
        <v>13250</v>
      </c>
      <c r="L23" s="18">
        <v>11900</v>
      </c>
      <c r="M23" s="18">
        <v>13250</v>
      </c>
      <c r="N23" s="18">
        <v>11900</v>
      </c>
    </row>
    <row r="24" spans="1:16">
      <c r="A24" s="13">
        <v>12</v>
      </c>
      <c r="B24" s="13">
        <v>11321200</v>
      </c>
      <c r="C24" s="19" t="s">
        <v>31</v>
      </c>
      <c r="D24" s="16">
        <v>100</v>
      </c>
      <c r="E24" s="17">
        <v>55.984099999999998</v>
      </c>
      <c r="F24" s="17">
        <v>0</v>
      </c>
      <c r="G24" s="17">
        <v>0</v>
      </c>
      <c r="H24" s="17">
        <v>82.077200000000005</v>
      </c>
      <c r="I24" s="18">
        <v>500</v>
      </c>
      <c r="J24" s="18">
        <v>500</v>
      </c>
      <c r="K24" s="18">
        <v>500</v>
      </c>
      <c r="L24" s="18">
        <v>500</v>
      </c>
      <c r="M24" s="18">
        <v>500</v>
      </c>
      <c r="N24" s="18">
        <v>500</v>
      </c>
    </row>
    <row r="25" spans="1:16" ht="31.5">
      <c r="A25" s="13">
        <v>13</v>
      </c>
      <c r="B25" s="13">
        <v>11321300</v>
      </c>
      <c r="C25" s="21" t="s">
        <v>32</v>
      </c>
      <c r="D25" s="16">
        <v>100</v>
      </c>
      <c r="E25" s="17">
        <v>22250.634249999999</v>
      </c>
      <c r="F25" s="17">
        <v>29876.3</v>
      </c>
      <c r="G25" s="17">
        <v>34478.699999999997</v>
      </c>
      <c r="H25" s="17">
        <v>37493.500110000001</v>
      </c>
      <c r="I25" s="18">
        <v>31300</v>
      </c>
      <c r="J25" s="18">
        <v>37200</v>
      </c>
      <c r="K25" s="18">
        <v>31300</v>
      </c>
      <c r="L25" s="18">
        <v>37200</v>
      </c>
      <c r="M25" s="18">
        <v>31300</v>
      </c>
      <c r="N25" s="18">
        <v>37200</v>
      </c>
    </row>
    <row r="26" spans="1:16">
      <c r="A26" s="13">
        <v>14</v>
      </c>
      <c r="B26" s="13">
        <v>14224200</v>
      </c>
      <c r="C26" s="21" t="s">
        <v>33</v>
      </c>
      <c r="D26" s="16">
        <v>100</v>
      </c>
      <c r="E26" s="17">
        <v>1122.2946199999999</v>
      </c>
      <c r="F26" s="17">
        <v>1200</v>
      </c>
      <c r="G26" s="17">
        <v>1200</v>
      </c>
      <c r="H26" s="17">
        <v>1293.9566299999999</v>
      </c>
      <c r="I26" s="18">
        <v>1250</v>
      </c>
      <c r="J26" s="18">
        <v>1300</v>
      </c>
      <c r="K26" s="18">
        <v>1250</v>
      </c>
      <c r="L26" s="18">
        <v>1300</v>
      </c>
      <c r="M26" s="18">
        <v>1250</v>
      </c>
      <c r="N26" s="18">
        <v>1300</v>
      </c>
    </row>
    <row r="27" spans="1:16" ht="31.5">
      <c r="A27" s="13">
        <v>15</v>
      </c>
      <c r="B27" s="13">
        <v>14511400</v>
      </c>
      <c r="C27" s="27" t="s">
        <v>34</v>
      </c>
      <c r="D27" s="21"/>
      <c r="E27" s="17"/>
      <c r="F27" s="17"/>
      <c r="G27" s="17">
        <v>40</v>
      </c>
      <c r="H27" s="17">
        <v>84.718199999999996</v>
      </c>
      <c r="I27" s="18">
        <v>20</v>
      </c>
      <c r="J27" s="18">
        <v>70</v>
      </c>
      <c r="K27" s="28">
        <v>20</v>
      </c>
      <c r="L27" s="18">
        <v>70</v>
      </c>
      <c r="M27" s="20">
        <v>20</v>
      </c>
      <c r="N27" s="18">
        <v>70</v>
      </c>
    </row>
    <row r="28" spans="1:16">
      <c r="A28" s="13">
        <v>16</v>
      </c>
      <c r="B28" s="19">
        <v>11611200</v>
      </c>
      <c r="C28" s="21" t="s">
        <v>35</v>
      </c>
      <c r="D28" s="21"/>
      <c r="E28" s="17">
        <v>6.0999999999999999E-2</v>
      </c>
      <c r="F28" s="17"/>
      <c r="G28" s="17"/>
      <c r="H28" s="17">
        <v>2.5999999999999999E-2</v>
      </c>
      <c r="I28" s="18"/>
      <c r="J28" s="18"/>
      <c r="K28" s="28"/>
      <c r="L28" s="18"/>
      <c r="M28" s="20"/>
      <c r="N28" s="18"/>
    </row>
    <row r="29" spans="1:16">
      <c r="A29" s="13"/>
      <c r="B29" s="23"/>
      <c r="C29" s="24" t="s">
        <v>36</v>
      </c>
      <c r="D29" s="24"/>
      <c r="E29" s="29">
        <f>SUM(E19:E28)</f>
        <v>83594.461710000003</v>
      </c>
      <c r="F29" s="29">
        <f>SUM(F19:F27)</f>
        <v>101690.90000000001</v>
      </c>
      <c r="G29" s="29">
        <f>SUM(G19:G27)</f>
        <v>130075.7</v>
      </c>
      <c r="H29" s="29">
        <f>SUM(H19:H28)</f>
        <v>155696.06561000002</v>
      </c>
      <c r="I29" s="29">
        <f t="shared" ref="I29:N29" si="1">SUM(I19:I27)</f>
        <v>118420</v>
      </c>
      <c r="J29" s="29">
        <f t="shared" si="1"/>
        <v>162170</v>
      </c>
      <c r="K29" s="29">
        <f t="shared" si="1"/>
        <v>118420</v>
      </c>
      <c r="L29" s="29">
        <f t="shared" si="1"/>
        <v>155170</v>
      </c>
      <c r="M29" s="29">
        <f t="shared" si="1"/>
        <v>118420</v>
      </c>
      <c r="N29" s="29">
        <f t="shared" si="1"/>
        <v>155170</v>
      </c>
      <c r="P29" s="30"/>
    </row>
    <row r="30" spans="1:16">
      <c r="A30" s="13"/>
      <c r="B30" s="13"/>
      <c r="C30" s="31" t="s">
        <v>37</v>
      </c>
      <c r="D30" s="31"/>
      <c r="E30" s="25">
        <f t="shared" ref="E30:N30" si="2">E29+E18</f>
        <v>630711.68868000014</v>
      </c>
      <c r="F30" s="25">
        <f t="shared" si="2"/>
        <v>725394.1</v>
      </c>
      <c r="G30" s="25">
        <f t="shared" si="2"/>
        <v>799398.29999999993</v>
      </c>
      <c r="H30" s="25">
        <f t="shared" si="2"/>
        <v>811372.42381000007</v>
      </c>
      <c r="I30" s="26">
        <f t="shared" si="2"/>
        <v>733679.4</v>
      </c>
      <c r="J30" s="26">
        <f t="shared" si="2"/>
        <v>827829.4</v>
      </c>
      <c r="K30" s="26">
        <f t="shared" si="2"/>
        <v>799643.60000000009</v>
      </c>
      <c r="L30" s="26">
        <f t="shared" si="2"/>
        <v>836393.60000000009</v>
      </c>
      <c r="M30" s="26">
        <f t="shared" si="2"/>
        <v>882943.89999999991</v>
      </c>
      <c r="N30" s="26">
        <f t="shared" si="2"/>
        <v>919693.89999999991</v>
      </c>
      <c r="O30" s="30"/>
    </row>
    <row r="31" spans="1:16" s="34" customFormat="1">
      <c r="A31" s="13">
        <v>17</v>
      </c>
      <c r="B31" s="14">
        <v>14152100</v>
      </c>
      <c r="C31" s="23" t="s">
        <v>38</v>
      </c>
      <c r="D31" s="32">
        <v>100</v>
      </c>
      <c r="E31" s="33">
        <f>SUM(E32:E35)</f>
        <v>36293.258499999996</v>
      </c>
      <c r="F31" s="33">
        <f>SUM(F32:F35)</f>
        <v>48015.1</v>
      </c>
      <c r="G31" s="33">
        <f t="shared" ref="G31:M31" si="3">SUM(G32:G35)</f>
        <v>48015.1</v>
      </c>
      <c r="H31" s="33">
        <f t="shared" si="3"/>
        <v>48137.441399999996</v>
      </c>
      <c r="I31" s="33">
        <f t="shared" si="3"/>
        <v>48300</v>
      </c>
      <c r="J31" s="33">
        <f>SUM(J32:J35)</f>
        <v>59916.860799999995</v>
      </c>
      <c r="K31" s="33">
        <f t="shared" si="3"/>
        <v>48300</v>
      </c>
      <c r="L31" s="33">
        <f>SUM(L32:L35)</f>
        <v>59516.860799999995</v>
      </c>
      <c r="M31" s="33">
        <f t="shared" si="3"/>
        <v>48300</v>
      </c>
      <c r="N31" s="33">
        <f>SUM(N32:N35)</f>
        <v>59516.860799999995</v>
      </c>
      <c r="P31" s="35"/>
    </row>
    <row r="32" spans="1:16">
      <c r="A32" s="13"/>
      <c r="B32" s="13"/>
      <c r="C32" s="36" t="s">
        <v>39</v>
      </c>
      <c r="D32" s="16">
        <v>100</v>
      </c>
      <c r="E32" s="37">
        <f>1642.567+1229.429+1238.021+2261.429+2176.2+1676.934+1872.094+1636.019+1347.714+1444.85+1426.2965+1158.09</f>
        <v>19109.643499999998</v>
      </c>
      <c r="F32" s="38">
        <v>23279</v>
      </c>
      <c r="G32" s="38">
        <v>23279</v>
      </c>
      <c r="H32" s="38">
        <f>1144.873+1574.38+1719.034+1728.257+2241.12+2257.05+2365.534+2112.928+2564.602+2500+2500+2500</f>
        <v>25207.777999999998</v>
      </c>
      <c r="I32" s="37">
        <v>23500</v>
      </c>
      <c r="J32" s="37">
        <f>29400+400</f>
        <v>29800</v>
      </c>
      <c r="K32" s="37">
        <v>23500</v>
      </c>
      <c r="L32" s="37">
        <v>29400</v>
      </c>
      <c r="M32" s="37">
        <v>23500</v>
      </c>
      <c r="N32" s="37">
        <v>29400</v>
      </c>
    </row>
    <row r="33" spans="1:14">
      <c r="A33" s="13"/>
      <c r="B33" s="13"/>
      <c r="C33" s="36" t="s">
        <v>40</v>
      </c>
      <c r="D33" s="16">
        <v>100</v>
      </c>
      <c r="E33" s="39">
        <f>704.509+818.158+635.269+729.546+760.089+692.614+811.816+712.859+724.949+688.085+697.104+869.872</f>
        <v>8844.869999999999</v>
      </c>
      <c r="F33" s="38">
        <f>7366+1435.4</f>
        <v>8801.4</v>
      </c>
      <c r="G33" s="38">
        <f>7366+1435.4</f>
        <v>8801.4</v>
      </c>
      <c r="H33" s="38">
        <f>716.745+737.891+771.011+719.676+773.59+792.188+748.9861+732.1913+1027.893+793.668+1034.663+1800+1800+1800</f>
        <v>14248.502399999999</v>
      </c>
      <c r="I33" s="37">
        <v>8806.3960000000006</v>
      </c>
      <c r="J33" s="37">
        <f>6465.516+1048.32</f>
        <v>7513.8359999999993</v>
      </c>
      <c r="K33" s="37">
        <v>8806.3960000000006</v>
      </c>
      <c r="L33" s="37">
        <f>6465.516+1048.32</f>
        <v>7513.8359999999993</v>
      </c>
      <c r="M33" s="37">
        <v>8806.3960000000006</v>
      </c>
      <c r="N33" s="37">
        <f>6465.516+1048.32</f>
        <v>7513.8359999999993</v>
      </c>
    </row>
    <row r="34" spans="1:14">
      <c r="A34" s="13"/>
      <c r="B34" s="13"/>
      <c r="C34" s="36" t="s">
        <v>41</v>
      </c>
      <c r="D34" s="16">
        <v>100</v>
      </c>
      <c r="E34" s="39">
        <f>576.608+624.144+562.902+502.679+591.415+591.151+563.115+571.772+560.445+581.284+585.272+597.316</f>
        <v>6908.1029999999992</v>
      </c>
      <c r="F34" s="38">
        <v>6933.2</v>
      </c>
      <c r="G34" s="38">
        <v>6933.2</v>
      </c>
      <c r="H34" s="38">
        <f>570.864+586.804+594.144+567.484+592.124+567.849+591.089+569.593+580.55+207.746+200+500+250.799</f>
        <v>6379.0460000000003</v>
      </c>
      <c r="I34" s="37">
        <v>6958.0919999999996</v>
      </c>
      <c r="J34" s="37">
        <f>2157.96+6958.0896</f>
        <v>9116.0496000000003</v>
      </c>
      <c r="K34" s="37">
        <v>6958.0919999999996</v>
      </c>
      <c r="L34" s="37">
        <f>2157.96+6958.0896</f>
        <v>9116.0496000000003</v>
      </c>
      <c r="M34" s="37">
        <v>6958.0919999999996</v>
      </c>
      <c r="N34" s="37">
        <f>2157.96+6958.0896</f>
        <v>9116.0496000000003</v>
      </c>
    </row>
    <row r="35" spans="1:14">
      <c r="A35" s="13"/>
      <c r="B35" s="13"/>
      <c r="C35" s="36" t="s">
        <v>42</v>
      </c>
      <c r="D35" s="16"/>
      <c r="E35" s="37">
        <f>7.2+49.05+23.4+1.8+300.74+157.604+90.704+73.056+193.039+269.963+264.086</f>
        <v>1430.6420000000001</v>
      </c>
      <c r="F35" s="38">
        <v>9001.5</v>
      </c>
      <c r="G35" s="38">
        <v>9001.5</v>
      </c>
      <c r="H35" s="38">
        <f>430.688+250.23+233.95+105.47+160.35+152.67+237.952+218.085+364.11+48.61+100</f>
        <v>2302.1150000000002</v>
      </c>
      <c r="I35" s="37">
        <v>9035.5120000000006</v>
      </c>
      <c r="J35" s="37">
        <f>1435.356+4859.6652+7191.954</f>
        <v>13486.975200000001</v>
      </c>
      <c r="K35" s="37">
        <v>9035.5120000000006</v>
      </c>
      <c r="L35" s="37">
        <f>1435.356+4859.6652+7191.954</f>
        <v>13486.975200000001</v>
      </c>
      <c r="M35" s="37">
        <v>9035.5120000000006</v>
      </c>
      <c r="N35" s="37">
        <f>1435.356+4859.6652+7191.954</f>
        <v>13486.975200000001</v>
      </c>
    </row>
    <row r="36" spans="1:14" s="34" customFormat="1">
      <c r="A36" s="13">
        <v>18</v>
      </c>
      <c r="B36" s="40">
        <v>14152200</v>
      </c>
      <c r="C36" s="41" t="s">
        <v>43</v>
      </c>
      <c r="D36" s="16"/>
      <c r="E36" s="42">
        <v>0</v>
      </c>
      <c r="F36" s="42">
        <f>83.3+353.1</f>
        <v>436.40000000000003</v>
      </c>
      <c r="G36" s="42">
        <f>83.3+353.1</f>
        <v>436.40000000000003</v>
      </c>
      <c r="H36" s="42">
        <v>52.295999999999999</v>
      </c>
      <c r="I36" s="43">
        <v>436.4</v>
      </c>
      <c r="J36" s="43">
        <v>600</v>
      </c>
      <c r="K36" s="43">
        <v>436.4</v>
      </c>
      <c r="L36" s="43">
        <v>600</v>
      </c>
      <c r="M36" s="43">
        <v>436.4</v>
      </c>
      <c r="N36" s="43">
        <v>600</v>
      </c>
    </row>
    <row r="37" spans="1:14" s="34" customFormat="1" ht="31.5">
      <c r="A37" s="13">
        <v>19</v>
      </c>
      <c r="B37" s="13">
        <v>14152600</v>
      </c>
      <c r="C37" s="21" t="s">
        <v>44</v>
      </c>
      <c r="D37" s="16">
        <v>100</v>
      </c>
      <c r="E37" s="17">
        <v>800.23599999999999</v>
      </c>
      <c r="F37" s="17">
        <v>2611.4</v>
      </c>
      <c r="G37" s="17">
        <v>2611.4</v>
      </c>
      <c r="H37" s="17">
        <v>4565.0940000000001</v>
      </c>
      <c r="I37" s="18">
        <v>2615.4</v>
      </c>
      <c r="J37" s="18">
        <f>5500+200</f>
        <v>5700</v>
      </c>
      <c r="K37" s="18">
        <v>2615.4</v>
      </c>
      <c r="L37" s="18">
        <v>5500</v>
      </c>
      <c r="M37" s="18">
        <v>2615.4</v>
      </c>
      <c r="N37" s="18">
        <v>5500</v>
      </c>
    </row>
    <row r="38" spans="1:14" s="34" customFormat="1" ht="31.5">
      <c r="A38" s="13">
        <v>20</v>
      </c>
      <c r="B38" s="13">
        <v>14211200</v>
      </c>
      <c r="C38" s="21" t="s">
        <v>45</v>
      </c>
      <c r="D38" s="16">
        <v>100</v>
      </c>
      <c r="E38" s="17">
        <v>7222.2759999999998</v>
      </c>
      <c r="F38" s="17">
        <v>17047</v>
      </c>
      <c r="G38" s="17">
        <f>8047+2800</f>
        <v>10847</v>
      </c>
      <c r="H38" s="17">
        <v>11098.054099999999</v>
      </c>
      <c r="I38" s="18">
        <v>9123.6</v>
      </c>
      <c r="J38" s="18">
        <f>J39+J40</f>
        <v>17326.031999999999</v>
      </c>
      <c r="K38" s="18">
        <v>9123.6</v>
      </c>
      <c r="L38" s="18">
        <f>L39+L40</f>
        <v>17326.031999999999</v>
      </c>
      <c r="M38" s="18">
        <v>9123.6</v>
      </c>
      <c r="N38" s="18">
        <f>N39+N40</f>
        <v>17326.031999999999</v>
      </c>
    </row>
    <row r="39" spans="1:14">
      <c r="A39" s="13"/>
      <c r="B39" s="13"/>
      <c r="C39" s="44" t="s">
        <v>46</v>
      </c>
      <c r="D39" s="16"/>
      <c r="E39" s="17"/>
      <c r="F39" s="17"/>
      <c r="G39" s="17"/>
      <c r="H39" s="17"/>
      <c r="I39" s="18"/>
      <c r="J39" s="18">
        <v>0</v>
      </c>
      <c r="K39" s="18"/>
      <c r="L39" s="18">
        <v>0</v>
      </c>
      <c r="M39" s="18"/>
      <c r="N39" s="18">
        <v>0</v>
      </c>
    </row>
    <row r="40" spans="1:14">
      <c r="A40" s="13"/>
      <c r="B40" s="13"/>
      <c r="C40" s="44" t="s">
        <v>40</v>
      </c>
      <c r="D40" s="45"/>
      <c r="E40" s="46"/>
      <c r="F40" s="46"/>
      <c r="G40" s="46"/>
      <c r="H40" s="46"/>
      <c r="I40" s="47"/>
      <c r="J40" s="47">
        <f>6918.84+4362.6+1076.592+600+360+1008+3000</f>
        <v>17326.031999999999</v>
      </c>
      <c r="K40" s="47"/>
      <c r="L40" s="47">
        <f>6918.84+4362.6+1076.592+600+360+1008+3000</f>
        <v>17326.031999999999</v>
      </c>
      <c r="M40" s="47"/>
      <c r="N40" s="47">
        <f>6918.84+4362.6+1076.592+600+360+1008+3000</f>
        <v>17326.031999999999</v>
      </c>
    </row>
    <row r="41" spans="1:14" s="34" customFormat="1">
      <c r="A41" s="13">
        <v>21</v>
      </c>
      <c r="B41" s="13">
        <v>14211900</v>
      </c>
      <c r="C41" s="21" t="s">
        <v>47</v>
      </c>
      <c r="D41" s="16"/>
      <c r="E41" s="17"/>
      <c r="F41" s="17"/>
      <c r="G41" s="17"/>
      <c r="H41" s="17">
        <v>162.65799999999999</v>
      </c>
      <c r="I41" s="18"/>
      <c r="J41" s="18"/>
      <c r="K41" s="18"/>
      <c r="L41" s="18"/>
      <c r="M41" s="18"/>
      <c r="N41" s="18"/>
    </row>
    <row r="42" spans="1:14" s="34" customFormat="1">
      <c r="A42" s="13">
        <v>22</v>
      </c>
      <c r="B42" s="13">
        <v>14224300</v>
      </c>
      <c r="C42" s="19" t="s">
        <v>48</v>
      </c>
      <c r="D42" s="16">
        <v>100</v>
      </c>
      <c r="E42" s="17">
        <v>13195.200919999999</v>
      </c>
      <c r="F42" s="17">
        <v>14310</v>
      </c>
      <c r="G42" s="17">
        <v>14310</v>
      </c>
      <c r="H42" s="17">
        <v>13943.658799999999</v>
      </c>
      <c r="I42" s="18">
        <v>14310</v>
      </c>
      <c r="J42" s="18">
        <f>J43+J44</f>
        <v>16144</v>
      </c>
      <c r="K42" s="18">
        <v>14310</v>
      </c>
      <c r="L42" s="18">
        <f>L43+L44</f>
        <v>15744</v>
      </c>
      <c r="M42" s="18">
        <v>14310</v>
      </c>
      <c r="N42" s="18">
        <f>N43+N44</f>
        <v>15744</v>
      </c>
    </row>
    <row r="43" spans="1:14">
      <c r="A43" s="13"/>
      <c r="B43" s="13"/>
      <c r="C43" s="44" t="s">
        <v>46</v>
      </c>
      <c r="D43" s="45"/>
      <c r="E43" s="46"/>
      <c r="F43" s="46"/>
      <c r="G43" s="46"/>
      <c r="H43" s="46"/>
      <c r="I43" s="47"/>
      <c r="J43" s="47">
        <f>4500+400</f>
        <v>4900</v>
      </c>
      <c r="K43" s="47"/>
      <c r="L43" s="47">
        <v>4500</v>
      </c>
      <c r="M43" s="47"/>
      <c r="N43" s="47">
        <v>4500</v>
      </c>
    </row>
    <row r="44" spans="1:14">
      <c r="A44" s="13"/>
      <c r="B44" s="13"/>
      <c r="C44" s="44" t="s">
        <v>40</v>
      </c>
      <c r="D44" s="45"/>
      <c r="E44" s="46"/>
      <c r="F44" s="46"/>
      <c r="G44" s="46"/>
      <c r="H44" s="46"/>
      <c r="I44" s="47"/>
      <c r="J44" s="47">
        <f>240+11004</f>
        <v>11244</v>
      </c>
      <c r="K44" s="47"/>
      <c r="L44" s="47">
        <f>240+11004</f>
        <v>11244</v>
      </c>
      <c r="M44" s="47"/>
      <c r="N44" s="47">
        <f>240+11004</f>
        <v>11244</v>
      </c>
    </row>
    <row r="45" spans="1:14" s="34" customFormat="1" ht="31.5">
      <c r="A45" s="13">
        <v>23</v>
      </c>
      <c r="B45" s="23">
        <v>14221900</v>
      </c>
      <c r="C45" s="48" t="s">
        <v>49</v>
      </c>
      <c r="D45" s="49">
        <v>100</v>
      </c>
      <c r="E45" s="25">
        <v>965.85</v>
      </c>
      <c r="F45" s="25">
        <v>6250.2</v>
      </c>
      <c r="G45" s="25">
        <v>13634.1</v>
      </c>
      <c r="H45" s="25">
        <v>12458.386</v>
      </c>
      <c r="I45" s="26">
        <v>14138.9</v>
      </c>
      <c r="J45" s="26">
        <f>2241.121+3000+9000+2000</f>
        <v>16241.120999999999</v>
      </c>
      <c r="K45" s="26">
        <v>14138.9</v>
      </c>
      <c r="L45" s="26">
        <f>2241.121+3000+9000</f>
        <v>14241.120999999999</v>
      </c>
      <c r="M45" s="26">
        <v>14138.9</v>
      </c>
      <c r="N45" s="26">
        <f>2241.121+3000+9000</f>
        <v>14241.120999999999</v>
      </c>
    </row>
    <row r="46" spans="1:14" ht="43.9" customHeight="1">
      <c r="A46" s="13">
        <v>24</v>
      </c>
      <c r="B46" s="19">
        <v>14224410</v>
      </c>
      <c r="C46" s="21" t="s">
        <v>50</v>
      </c>
      <c r="D46" s="21">
        <v>100</v>
      </c>
      <c r="E46" s="17">
        <v>1850</v>
      </c>
      <c r="F46" s="17">
        <v>1041</v>
      </c>
      <c r="G46" s="17">
        <v>1041</v>
      </c>
      <c r="H46" s="17">
        <v>2480</v>
      </c>
      <c r="I46" s="18">
        <v>1850</v>
      </c>
      <c r="J46" s="18">
        <v>1850</v>
      </c>
      <c r="K46" s="28">
        <v>1850</v>
      </c>
      <c r="L46" s="18">
        <v>1850</v>
      </c>
      <c r="M46" s="20">
        <v>1850</v>
      </c>
      <c r="N46" s="18">
        <v>1850</v>
      </c>
    </row>
    <row r="47" spans="1:14">
      <c r="A47" s="13">
        <v>25</v>
      </c>
      <c r="B47" s="19">
        <v>14151200</v>
      </c>
      <c r="C47" s="41" t="s">
        <v>51</v>
      </c>
      <c r="D47" s="16"/>
      <c r="E47" s="17"/>
      <c r="F47" s="17">
        <v>95</v>
      </c>
      <c r="G47" s="17">
        <v>95</v>
      </c>
      <c r="H47" s="17">
        <v>346.01499999999999</v>
      </c>
      <c r="I47" s="18"/>
      <c r="J47" s="18"/>
      <c r="K47" s="18"/>
      <c r="L47" s="18"/>
      <c r="M47" s="20"/>
      <c r="N47" s="18"/>
    </row>
    <row r="48" spans="1:14">
      <c r="A48" s="13">
        <v>26</v>
      </c>
      <c r="B48" s="40">
        <v>14311400</v>
      </c>
      <c r="C48" s="41" t="s">
        <v>52</v>
      </c>
      <c r="D48" s="21"/>
      <c r="E48" s="17">
        <v>55.5</v>
      </c>
      <c r="F48" s="17"/>
      <c r="G48" s="17"/>
      <c r="H48" s="17"/>
      <c r="I48" s="18"/>
      <c r="K48" s="28"/>
      <c r="M48" s="20"/>
      <c r="N48" s="20"/>
    </row>
    <row r="49" spans="1:16">
      <c r="A49" s="13">
        <v>27</v>
      </c>
      <c r="B49" s="40">
        <v>14311500</v>
      </c>
      <c r="C49" s="41" t="s">
        <v>53</v>
      </c>
      <c r="D49" s="21"/>
      <c r="E49" s="17"/>
      <c r="F49" s="17"/>
      <c r="G49" s="17"/>
      <c r="H49" s="17"/>
      <c r="I49" s="18"/>
      <c r="J49" s="18"/>
      <c r="K49" s="28"/>
      <c r="L49" s="18"/>
      <c r="M49" s="20"/>
      <c r="N49" s="18"/>
    </row>
    <row r="50" spans="1:16">
      <c r="A50" s="13">
        <v>28</v>
      </c>
      <c r="B50" s="40">
        <v>14511100</v>
      </c>
      <c r="C50" s="41" t="s">
        <v>54</v>
      </c>
      <c r="D50" s="21"/>
      <c r="E50" s="17">
        <v>2621.2420000000002</v>
      </c>
      <c r="F50" s="17"/>
      <c r="G50" s="17"/>
      <c r="H50" s="17">
        <v>1540.1107999999999</v>
      </c>
      <c r="I50" s="18"/>
      <c r="J50" s="18"/>
      <c r="K50" s="28"/>
      <c r="L50" s="18"/>
      <c r="M50" s="20"/>
      <c r="N50" s="18"/>
    </row>
    <row r="51" spans="1:16">
      <c r="A51" s="13">
        <v>29</v>
      </c>
      <c r="B51" s="50">
        <v>14311410</v>
      </c>
      <c r="C51" s="51" t="s">
        <v>52</v>
      </c>
      <c r="D51" s="21"/>
      <c r="E51" s="17">
        <v>0</v>
      </c>
      <c r="F51" s="17"/>
      <c r="G51" s="17"/>
      <c r="H51" s="17">
        <v>36</v>
      </c>
      <c r="I51" s="18"/>
      <c r="J51" s="18"/>
      <c r="K51" s="28"/>
      <c r="L51" s="18"/>
      <c r="M51" s="20"/>
      <c r="N51" s="18"/>
    </row>
    <row r="52" spans="1:16">
      <c r="A52" s="13">
        <v>30</v>
      </c>
      <c r="B52" s="52">
        <v>31121100</v>
      </c>
      <c r="C52" s="53" t="s">
        <v>55</v>
      </c>
      <c r="D52" s="21"/>
      <c r="E52" s="17"/>
      <c r="F52" s="17"/>
      <c r="G52" s="17"/>
      <c r="H52" s="17"/>
      <c r="I52" s="18"/>
      <c r="J52" s="18"/>
      <c r="K52" s="28"/>
      <c r="L52" s="18"/>
      <c r="M52" s="20"/>
      <c r="N52" s="18"/>
    </row>
    <row r="53" spans="1:16">
      <c r="A53" s="13">
        <v>31</v>
      </c>
      <c r="B53" s="52">
        <v>31112120</v>
      </c>
      <c r="C53" s="53" t="s">
        <v>56</v>
      </c>
      <c r="D53" s="54"/>
      <c r="E53" s="17">
        <v>0</v>
      </c>
      <c r="F53" s="17"/>
      <c r="G53" s="17"/>
      <c r="H53" s="17"/>
      <c r="I53" s="18"/>
      <c r="J53" s="18">
        <v>1570</v>
      </c>
      <c r="K53" s="28"/>
      <c r="L53" s="18"/>
      <c r="M53" s="20"/>
      <c r="N53" s="18"/>
    </row>
    <row r="54" spans="1:16">
      <c r="A54" s="13">
        <v>32</v>
      </c>
      <c r="B54" s="13">
        <v>31112190</v>
      </c>
      <c r="C54" s="53" t="s">
        <v>57</v>
      </c>
      <c r="D54" s="54"/>
      <c r="E54" s="17"/>
      <c r="F54" s="17"/>
      <c r="G54" s="17">
        <f>1616.1+6392.4</f>
        <v>8008.5</v>
      </c>
      <c r="H54" s="17">
        <v>1780.951</v>
      </c>
      <c r="I54" s="18"/>
      <c r="J54" s="18"/>
      <c r="K54" s="28"/>
      <c r="L54" s="18"/>
      <c r="M54" s="20"/>
      <c r="N54" s="18"/>
    </row>
    <row r="55" spans="1:16">
      <c r="A55" s="13">
        <v>33</v>
      </c>
      <c r="B55" s="40">
        <v>31121130</v>
      </c>
      <c r="C55" s="51" t="s">
        <v>58</v>
      </c>
      <c r="D55" s="21"/>
      <c r="E55" s="17">
        <v>0</v>
      </c>
      <c r="F55" s="17"/>
      <c r="G55" s="17"/>
      <c r="H55" s="17"/>
      <c r="I55" s="18"/>
      <c r="J55" s="18"/>
      <c r="K55" s="28"/>
      <c r="L55" s="18"/>
      <c r="M55" s="20"/>
      <c r="N55" s="18"/>
    </row>
    <row r="56" spans="1:16">
      <c r="A56" s="13">
        <v>34</v>
      </c>
      <c r="B56" s="40">
        <v>31121190</v>
      </c>
      <c r="C56" s="41" t="s">
        <v>59</v>
      </c>
      <c r="D56" s="21"/>
      <c r="E56" s="17"/>
      <c r="F56" s="17"/>
      <c r="G56" s="17"/>
      <c r="H56" s="17"/>
      <c r="I56" s="18"/>
      <c r="J56" s="18"/>
      <c r="K56" s="28"/>
      <c r="L56" s="18"/>
      <c r="M56" s="20"/>
      <c r="N56" s="18"/>
    </row>
    <row r="57" spans="1:16" ht="47.25">
      <c r="A57" s="13"/>
      <c r="B57" s="13"/>
      <c r="C57" s="55" t="s">
        <v>60</v>
      </c>
      <c r="D57" s="55"/>
      <c r="E57" s="56">
        <f t="shared" ref="E57:M57" si="4">SUM(E31:E56)-E31</f>
        <v>63003.56342000002</v>
      </c>
      <c r="F57" s="56">
        <f t="shared" si="4"/>
        <v>89806.099999999977</v>
      </c>
      <c r="G57" s="56">
        <f t="shared" si="4"/>
        <v>98998.499999999971</v>
      </c>
      <c r="H57" s="56">
        <f t="shared" si="4"/>
        <v>96600.665100000027</v>
      </c>
      <c r="I57" s="56">
        <f t="shared" si="4"/>
        <v>90774.300000000017</v>
      </c>
      <c r="J57" s="56">
        <f>SUM(J31:J56)-J31-J42-J38</f>
        <v>119348.01379999999</v>
      </c>
      <c r="K57" s="56">
        <f t="shared" si="4"/>
        <v>90774.300000000017</v>
      </c>
      <c r="L57" s="56">
        <f>SUM(L31:L56)-L31-L42-L38</f>
        <v>114778.01379999999</v>
      </c>
      <c r="M57" s="56">
        <f t="shared" si="4"/>
        <v>90774.300000000017</v>
      </c>
      <c r="N57" s="56">
        <f>SUM(N31:N56)-N31-N42-N38</f>
        <v>114778.01379999999</v>
      </c>
    </row>
    <row r="58" spans="1:16">
      <c r="A58" s="13"/>
      <c r="B58" s="13"/>
      <c r="C58" s="57" t="s">
        <v>61</v>
      </c>
      <c r="D58" s="57"/>
      <c r="E58" s="58">
        <f t="shared" ref="E58:M58" si="5">E57+E30</f>
        <v>693715.25210000016</v>
      </c>
      <c r="F58" s="58">
        <f t="shared" si="5"/>
        <v>815200.2</v>
      </c>
      <c r="G58" s="58">
        <f t="shared" si="5"/>
        <v>898396.79999999993</v>
      </c>
      <c r="H58" s="58">
        <f t="shared" si="5"/>
        <v>907973.08891000005</v>
      </c>
      <c r="I58" s="59">
        <f t="shared" si="5"/>
        <v>824453.70000000007</v>
      </c>
      <c r="J58" s="59">
        <f>J57+J30</f>
        <v>947177.41379999998</v>
      </c>
      <c r="K58" s="59">
        <f t="shared" si="5"/>
        <v>890417.90000000014</v>
      </c>
      <c r="L58" s="59">
        <f t="shared" si="5"/>
        <v>951171.61380000005</v>
      </c>
      <c r="M58" s="60">
        <f t="shared" si="5"/>
        <v>973718.2</v>
      </c>
      <c r="N58" s="59">
        <f>N57+N30</f>
        <v>1034471.9137999999</v>
      </c>
      <c r="P58" s="30"/>
    </row>
    <row r="59" spans="1:16">
      <c r="A59" s="13"/>
      <c r="B59" s="13"/>
      <c r="C59" s="61" t="s">
        <v>62</v>
      </c>
      <c r="D59" s="61"/>
      <c r="E59" s="62"/>
      <c r="F59" s="62"/>
      <c r="G59" s="62"/>
      <c r="H59" s="62"/>
      <c r="I59" s="39"/>
      <c r="J59" s="39"/>
      <c r="K59" s="39"/>
      <c r="L59" s="39"/>
      <c r="M59" s="20"/>
      <c r="N59" s="39"/>
    </row>
    <row r="60" spans="1:16" ht="31.5">
      <c r="A60" s="13">
        <v>35</v>
      </c>
      <c r="B60" s="13">
        <v>14232400</v>
      </c>
      <c r="C60" s="21" t="s">
        <v>63</v>
      </c>
      <c r="D60" s="21"/>
      <c r="E60" s="62">
        <v>52230.764999999999</v>
      </c>
      <c r="F60" s="62">
        <v>65258</v>
      </c>
      <c r="G60" s="63">
        <f>65258+10000</f>
        <v>75258</v>
      </c>
      <c r="H60" s="62">
        <v>76362.425000000003</v>
      </c>
      <c r="I60" s="39">
        <v>73149.5</v>
      </c>
      <c r="J60" s="39">
        <f>132321.9+0.1</f>
        <v>132322</v>
      </c>
      <c r="K60" s="39">
        <v>73149.5</v>
      </c>
      <c r="L60" s="39">
        <f>132321.9+0.1</f>
        <v>132322</v>
      </c>
      <c r="M60" s="39">
        <v>73149.5</v>
      </c>
      <c r="N60" s="39">
        <f>132321.9+0.1</f>
        <v>132322</v>
      </c>
    </row>
    <row r="61" spans="1:16" ht="31.5">
      <c r="A61" s="13">
        <v>36</v>
      </c>
      <c r="B61" s="13">
        <v>14232900</v>
      </c>
      <c r="C61" s="21" t="s">
        <v>64</v>
      </c>
      <c r="D61" s="21"/>
      <c r="E61" s="62">
        <v>1547.4069999999999</v>
      </c>
      <c r="F61" s="62">
        <v>2000</v>
      </c>
      <c r="G61" s="62">
        <v>2000</v>
      </c>
      <c r="H61" s="62">
        <v>1993.136</v>
      </c>
      <c r="I61" s="64">
        <v>2000</v>
      </c>
      <c r="J61" s="39">
        <v>2000</v>
      </c>
      <c r="K61" s="64">
        <v>2000</v>
      </c>
      <c r="L61" s="39">
        <v>2000</v>
      </c>
      <c r="M61" s="39">
        <v>2000</v>
      </c>
      <c r="N61" s="39">
        <v>2000</v>
      </c>
    </row>
    <row r="62" spans="1:16" ht="31.5">
      <c r="A62" s="13">
        <v>37</v>
      </c>
      <c r="B62" s="13">
        <v>14236900</v>
      </c>
      <c r="C62" s="21" t="s">
        <v>65</v>
      </c>
      <c r="D62" s="21"/>
      <c r="E62" s="62"/>
      <c r="F62" s="62"/>
      <c r="G62" s="62"/>
      <c r="H62" s="62">
        <v>0</v>
      </c>
      <c r="I62" s="64"/>
      <c r="J62" s="39"/>
      <c r="K62" s="64"/>
      <c r="L62" s="39"/>
      <c r="M62" s="39"/>
      <c r="N62" s="39"/>
    </row>
    <row r="63" spans="1:16" ht="31.5">
      <c r="A63" s="13">
        <v>38</v>
      </c>
      <c r="B63" s="13">
        <v>14238900</v>
      </c>
      <c r="C63" s="21" t="s">
        <v>66</v>
      </c>
      <c r="D63" s="21"/>
      <c r="E63" s="62">
        <v>71483.906000000003</v>
      </c>
      <c r="F63" s="62">
        <v>166989.20000000001</v>
      </c>
      <c r="G63" s="62">
        <f>166989.2-5052.5</f>
        <v>161936.70000000001</v>
      </c>
      <c r="H63" s="62">
        <v>100485.13400000001</v>
      </c>
      <c r="I63" s="64">
        <v>168767.1</v>
      </c>
      <c r="J63" s="39">
        <f>1580.9+347.2+100+90+(84728.1-4582)+70+15288.4+12000+18100</f>
        <v>127722.6</v>
      </c>
      <c r="K63" s="64">
        <v>168767.1</v>
      </c>
      <c r="L63" s="39">
        <f>1580.9+347.2+100+90+(84728.1-4582)+70+15288.4+12000+18100</f>
        <v>127722.6</v>
      </c>
      <c r="M63" s="39">
        <v>168767.1</v>
      </c>
      <c r="N63" s="39">
        <f>1580.9+347.2+100+90+(84728.1-4582)+70+15288.4+12000+18100</f>
        <v>127722.6</v>
      </c>
    </row>
    <row r="64" spans="1:16">
      <c r="A64" s="13">
        <v>39</v>
      </c>
      <c r="B64" s="13">
        <v>14411100</v>
      </c>
      <c r="C64" s="19" t="s">
        <v>67</v>
      </c>
      <c r="D64" s="19"/>
      <c r="E64" s="62">
        <v>455</v>
      </c>
      <c r="F64" s="62">
        <v>200</v>
      </c>
      <c r="G64" s="62">
        <v>700</v>
      </c>
      <c r="H64" s="62">
        <v>1085.95</v>
      </c>
      <c r="I64" s="64">
        <v>100</v>
      </c>
      <c r="J64" s="39">
        <f>100+100+100</f>
        <v>300</v>
      </c>
      <c r="K64" s="64">
        <v>100</v>
      </c>
      <c r="L64" s="39">
        <f>100+100+100</f>
        <v>300</v>
      </c>
      <c r="M64" s="39">
        <v>100</v>
      </c>
      <c r="N64" s="39">
        <f>100+100+100</f>
        <v>300</v>
      </c>
    </row>
    <row r="65" spans="1:16">
      <c r="A65" s="13">
        <v>40</v>
      </c>
      <c r="B65" s="13">
        <v>14412100</v>
      </c>
      <c r="C65" s="19" t="s">
        <v>68</v>
      </c>
      <c r="D65" s="19"/>
      <c r="E65" s="62"/>
      <c r="F65" s="62"/>
      <c r="G65" s="62"/>
      <c r="H65" s="62">
        <v>900000</v>
      </c>
      <c r="I65" s="64"/>
      <c r="J65" s="39"/>
      <c r="K65" s="64"/>
      <c r="L65" s="39"/>
      <c r="M65" s="39"/>
      <c r="N65" s="39"/>
    </row>
    <row r="66" spans="1:16">
      <c r="A66" s="13"/>
      <c r="B66" s="20"/>
      <c r="C66" s="23" t="s">
        <v>69</v>
      </c>
      <c r="D66" s="23"/>
      <c r="E66" s="56">
        <f t="shared" ref="E66:K66" si="6">SUM(E60:E64)</f>
        <v>125717.07800000001</v>
      </c>
      <c r="F66" s="56">
        <f t="shared" si="6"/>
        <v>234447.2</v>
      </c>
      <c r="G66" s="56">
        <f t="shared" si="6"/>
        <v>239894.7</v>
      </c>
      <c r="H66" s="56">
        <f>SUM(H60:H64)</f>
        <v>179926.64500000002</v>
      </c>
      <c r="I66" s="56">
        <f t="shared" si="6"/>
        <v>244016.6</v>
      </c>
      <c r="J66" s="56">
        <f>SUM(J60:J64)</f>
        <v>262344.59999999998</v>
      </c>
      <c r="K66" s="56">
        <f t="shared" si="6"/>
        <v>244016.6</v>
      </c>
      <c r="L66" s="56">
        <f>SUM(L60:L64)</f>
        <v>262344.59999999998</v>
      </c>
      <c r="M66" s="56">
        <f>SUM(M60:M64)</f>
        <v>244016.6</v>
      </c>
      <c r="N66" s="56">
        <f>SUM(N60:N64)</f>
        <v>262344.59999999998</v>
      </c>
    </row>
    <row r="67" spans="1:16" ht="15.6" customHeight="1">
      <c r="A67" s="13">
        <v>41</v>
      </c>
      <c r="B67" s="20">
        <v>13321200</v>
      </c>
      <c r="C67" s="65" t="s">
        <v>70</v>
      </c>
      <c r="D67" s="66"/>
      <c r="E67" s="62">
        <v>1669224.6</v>
      </c>
      <c r="F67" s="20"/>
      <c r="H67" s="62">
        <v>1056720.2290000001</v>
      </c>
      <c r="I67" s="62"/>
      <c r="J67" s="62"/>
      <c r="K67" s="62"/>
      <c r="L67" s="62"/>
      <c r="M67" s="62"/>
      <c r="N67" s="62"/>
    </row>
    <row r="68" spans="1:16">
      <c r="A68" s="13">
        <v>42</v>
      </c>
      <c r="B68" s="20">
        <v>13321100</v>
      </c>
      <c r="C68" s="65" t="s">
        <v>71</v>
      </c>
      <c r="D68" s="66"/>
      <c r="E68" s="62"/>
      <c r="F68" s="62">
        <v>2201.8000000000002</v>
      </c>
      <c r="G68" s="62">
        <v>2201.8000000000002</v>
      </c>
      <c r="H68" s="62">
        <v>2201.83</v>
      </c>
      <c r="I68" s="62"/>
      <c r="J68" s="62"/>
      <c r="K68" s="62"/>
      <c r="L68" s="62"/>
      <c r="M68" s="62"/>
      <c r="N68" s="62"/>
    </row>
    <row r="69" spans="1:16">
      <c r="A69" s="13">
        <v>43</v>
      </c>
      <c r="B69" s="20">
        <v>13321300</v>
      </c>
      <c r="C69" s="67" t="s">
        <v>72</v>
      </c>
      <c r="D69" s="66"/>
      <c r="E69" s="62"/>
      <c r="F69" s="62"/>
      <c r="G69" s="62"/>
      <c r="H69" s="62">
        <v>18833.25604</v>
      </c>
      <c r="I69" s="62"/>
      <c r="J69" s="62"/>
      <c r="K69" s="62"/>
      <c r="L69" s="62"/>
      <c r="M69" s="62"/>
      <c r="N69" s="62"/>
    </row>
    <row r="70" spans="1:16">
      <c r="A70" s="13"/>
      <c r="B70" s="20"/>
      <c r="C70" s="68" t="s">
        <v>73</v>
      </c>
      <c r="D70" s="68"/>
      <c r="E70" s="56">
        <f>E66+E58+E67+E68+E69</f>
        <v>2488656.9301000005</v>
      </c>
      <c r="F70" s="56">
        <f>F66+F58+F67+F68+F69</f>
        <v>1051849.2</v>
      </c>
      <c r="G70" s="56">
        <f>G66+G58+G67+G68+G69</f>
        <v>1140493.3</v>
      </c>
      <c r="H70" s="56">
        <f>H66+H58+H67+H68+H69+H65</f>
        <v>3065655.0489500002</v>
      </c>
      <c r="I70" s="56">
        <f t="shared" ref="I70:N70" si="7">I66+I58</f>
        <v>1068470.3</v>
      </c>
      <c r="J70" s="69">
        <f>J66+J58</f>
        <v>1209522.0137999998</v>
      </c>
      <c r="K70" s="56">
        <f t="shared" si="7"/>
        <v>1134434.5000000002</v>
      </c>
      <c r="L70" s="56">
        <f t="shared" si="7"/>
        <v>1213516.2138</v>
      </c>
      <c r="M70" s="56">
        <f t="shared" si="7"/>
        <v>1217734.8</v>
      </c>
      <c r="N70" s="56">
        <f t="shared" si="7"/>
        <v>1296816.5137999998</v>
      </c>
      <c r="P70" s="30"/>
    </row>
    <row r="73" spans="1:16">
      <c r="B73" s="1"/>
      <c r="C73" s="34" t="s">
        <v>74</v>
      </c>
      <c r="E73" s="30"/>
      <c r="F73" s="30"/>
      <c r="G73" s="30"/>
      <c r="H73" s="35" t="s">
        <v>75</v>
      </c>
    </row>
    <row r="74" spans="1:16">
      <c r="E74" s="30"/>
      <c r="J74" s="30"/>
    </row>
    <row r="75" spans="1:16">
      <c r="E75" s="30"/>
    </row>
    <row r="76" spans="1:16">
      <c r="J76" s="30"/>
    </row>
    <row r="80" spans="1:16">
      <c r="K80" s="30"/>
    </row>
    <row r="81" spans="11:11">
      <c r="K81" s="30"/>
    </row>
  </sheetData>
  <mergeCells count="17">
    <mergeCell ref="I11:J11"/>
    <mergeCell ref="K11:L11"/>
    <mergeCell ref="M11:N11"/>
    <mergeCell ref="M1:N1"/>
    <mergeCell ref="M2:N2"/>
    <mergeCell ref="A7:L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K9:L9"/>
    <mergeCell ref="M9:N9"/>
  </mergeCells>
  <printOptions horizontalCentered="1"/>
  <pageMargins left="0.19685039370078741" right="0.19685039370078741" top="0.31496062992125984" bottom="0.31496062992125984" header="0.51181102362204722" footer="0"/>
  <pageSetup paperSize="9" scale="67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64"/>
  <sheetViews>
    <sheetView view="pageBreakPreview" topLeftCell="A16" zoomScale="60" zoomScaleNormal="70" workbookViewId="0">
      <selection activeCell="B31" sqref="B31"/>
    </sheetView>
  </sheetViews>
  <sheetFormatPr defaultColWidth="6.7109375" defaultRowHeight="15.75"/>
  <cols>
    <col min="1" max="1" width="4.28515625" style="70" bestFit="1" customWidth="1"/>
    <col min="2" max="2" width="31.5703125" style="70" customWidth="1"/>
    <col min="3" max="3" width="10.85546875" style="70" customWidth="1"/>
    <col min="4" max="4" width="9.85546875" style="70" bestFit="1" customWidth="1"/>
    <col min="5" max="5" width="9.85546875" style="70" customWidth="1"/>
    <col min="6" max="6" width="7.7109375" style="70" customWidth="1"/>
    <col min="7" max="7" width="9.28515625" style="70" customWidth="1"/>
    <col min="8" max="8" width="7.28515625" style="70" customWidth="1"/>
    <col min="9" max="9" width="9.28515625" style="70" customWidth="1"/>
    <col min="10" max="10" width="8.28515625" style="70" hidden="1" customWidth="1"/>
    <col min="11" max="11" width="10.85546875" style="70" customWidth="1"/>
    <col min="12" max="12" width="7.85546875" style="70" customWidth="1"/>
    <col min="13" max="13" width="9" style="70" bestFit="1" customWidth="1"/>
    <col min="14" max="14" width="10.140625" style="70" customWidth="1"/>
    <col min="15" max="15" width="10.28515625" style="70" customWidth="1"/>
    <col min="16" max="16" width="7.7109375" style="70" customWidth="1"/>
    <col min="17" max="17" width="9" style="70" bestFit="1" customWidth="1"/>
    <col min="18" max="18" width="9" style="70" customWidth="1"/>
    <col min="19" max="20" width="10" style="70" bestFit="1" customWidth="1"/>
    <col min="21" max="21" width="11.28515625" style="70" customWidth="1"/>
    <col min="22" max="22" width="9.7109375" style="70" customWidth="1"/>
    <col min="23" max="23" width="8" style="70" customWidth="1"/>
    <col min="24" max="24" width="8.28515625" style="70" customWidth="1"/>
    <col min="25" max="25" width="9.28515625" style="70" customWidth="1"/>
    <col min="26" max="26" width="10.28515625" style="70" customWidth="1"/>
    <col min="27" max="27" width="8.7109375" style="70" customWidth="1"/>
    <col min="28" max="28" width="8.140625" style="70" customWidth="1"/>
    <col min="29" max="29" width="8" style="70" customWidth="1"/>
    <col min="30" max="31" width="9.28515625" style="70" customWidth="1"/>
    <col min="32" max="34" width="7.85546875" style="70" customWidth="1"/>
    <col min="35" max="35" width="10.140625" style="70" customWidth="1"/>
    <col min="36" max="36" width="7.85546875" style="70" bestFit="1" customWidth="1"/>
    <col min="37" max="37" width="10.28515625" style="70" bestFit="1" customWidth="1"/>
    <col min="38" max="38" width="6.7109375" style="70"/>
    <col min="39" max="40" width="7.85546875" style="70" bestFit="1" customWidth="1"/>
    <col min="41" max="16384" width="6.7109375" style="70"/>
  </cols>
  <sheetData>
    <row r="1" spans="1:40" ht="48.6" customHeight="1">
      <c r="Z1" s="6"/>
      <c r="AA1" s="149" t="s">
        <v>1</v>
      </c>
      <c r="AB1" s="149"/>
      <c r="AC1" s="149"/>
    </row>
    <row r="2" spans="1:40" ht="13.9" customHeight="1">
      <c r="Z2" s="6"/>
      <c r="AA2" s="133" t="s">
        <v>2</v>
      </c>
      <c r="AB2" s="133"/>
      <c r="AC2" s="133"/>
    </row>
    <row r="3" spans="1:40">
      <c r="C3" s="71"/>
      <c r="Z3" s="6"/>
      <c r="AA3" s="5" t="s">
        <v>3</v>
      </c>
      <c r="AB3" s="5"/>
      <c r="AC3" s="6"/>
    </row>
    <row r="4" spans="1:40">
      <c r="C4" s="71"/>
      <c r="N4" s="71"/>
      <c r="Z4" s="6"/>
      <c r="AA4" s="7" t="s">
        <v>76</v>
      </c>
      <c r="AB4" s="7"/>
      <c r="AC4" s="6"/>
    </row>
    <row r="5" spans="1:40">
      <c r="B5" s="71"/>
      <c r="C5" s="71"/>
      <c r="D5" s="71"/>
      <c r="Z5" s="8"/>
      <c r="AA5" s="8"/>
      <c r="AB5" s="8"/>
      <c r="AC5" s="8"/>
    </row>
    <row r="6" spans="1:40">
      <c r="B6" s="150" t="s">
        <v>77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</row>
    <row r="7" spans="1:40">
      <c r="B7" s="150" t="s">
        <v>195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</row>
    <row r="8" spans="1:40" ht="16.5" thickBot="1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</row>
    <row r="9" spans="1:40" ht="126">
      <c r="A9" s="72" t="s">
        <v>78</v>
      </c>
      <c r="B9" s="72" t="s">
        <v>79</v>
      </c>
      <c r="C9" s="73" t="s">
        <v>80</v>
      </c>
      <c r="D9" s="74" t="s">
        <v>81</v>
      </c>
      <c r="E9" s="74" t="s">
        <v>82</v>
      </c>
      <c r="F9" s="74" t="s">
        <v>83</v>
      </c>
      <c r="G9" s="74" t="s">
        <v>84</v>
      </c>
      <c r="H9" s="74" t="s">
        <v>85</v>
      </c>
      <c r="I9" s="74" t="s">
        <v>86</v>
      </c>
      <c r="J9" s="74" t="s">
        <v>87</v>
      </c>
      <c r="K9" s="74" t="s">
        <v>88</v>
      </c>
      <c r="L9" s="74" t="s">
        <v>89</v>
      </c>
      <c r="M9" s="74" t="s">
        <v>90</v>
      </c>
      <c r="N9" s="74" t="s">
        <v>91</v>
      </c>
      <c r="O9" s="74" t="s">
        <v>92</v>
      </c>
      <c r="P9" s="74" t="s">
        <v>93</v>
      </c>
      <c r="Q9" s="74" t="s">
        <v>94</v>
      </c>
      <c r="R9" s="74" t="s">
        <v>95</v>
      </c>
      <c r="S9" s="74" t="s">
        <v>96</v>
      </c>
      <c r="T9" s="74" t="s">
        <v>97</v>
      </c>
      <c r="U9" s="74" t="s">
        <v>98</v>
      </c>
      <c r="V9" s="74" t="s">
        <v>99</v>
      </c>
      <c r="W9" s="74" t="s">
        <v>100</v>
      </c>
      <c r="X9" s="74" t="s">
        <v>101</v>
      </c>
      <c r="Y9" s="74" t="s">
        <v>102</v>
      </c>
      <c r="Z9" s="75" t="s">
        <v>103</v>
      </c>
      <c r="AA9" s="75" t="s">
        <v>104</v>
      </c>
      <c r="AB9" s="75" t="s">
        <v>105</v>
      </c>
      <c r="AC9" s="75" t="s">
        <v>106</v>
      </c>
    </row>
    <row r="10" spans="1:40">
      <c r="A10" s="76"/>
      <c r="B10" s="76"/>
      <c r="C10" s="77"/>
      <c r="D10" s="78">
        <v>2111</v>
      </c>
      <c r="E10" s="78">
        <v>2121</v>
      </c>
      <c r="F10" s="78">
        <v>22111</v>
      </c>
      <c r="G10" s="78">
        <v>22122</v>
      </c>
      <c r="H10" s="78">
        <v>2213</v>
      </c>
      <c r="I10" s="78">
        <v>2214</v>
      </c>
      <c r="J10" s="78">
        <v>22152</v>
      </c>
      <c r="K10" s="78">
        <v>2215</v>
      </c>
      <c r="L10" s="78">
        <v>2217</v>
      </c>
      <c r="M10" s="78">
        <v>2218</v>
      </c>
      <c r="N10" s="78">
        <v>222111</v>
      </c>
      <c r="O10" s="78">
        <v>2222</v>
      </c>
      <c r="P10" s="78">
        <v>2223</v>
      </c>
      <c r="Q10" s="78">
        <v>22241</v>
      </c>
      <c r="R10" s="78">
        <v>2225</v>
      </c>
      <c r="S10" s="78">
        <v>22311100</v>
      </c>
      <c r="T10" s="78">
        <v>22311200</v>
      </c>
      <c r="U10" s="78">
        <v>22311300</v>
      </c>
      <c r="V10" s="78">
        <v>22311400</v>
      </c>
      <c r="W10" s="78">
        <v>2511</v>
      </c>
      <c r="X10" s="78">
        <v>2721</v>
      </c>
      <c r="Y10" s="78" t="s">
        <v>107</v>
      </c>
      <c r="Z10" s="78">
        <v>3111</v>
      </c>
      <c r="AA10" s="78">
        <v>3112</v>
      </c>
      <c r="AB10" s="78">
        <v>3113</v>
      </c>
      <c r="AC10" s="78" t="s">
        <v>196</v>
      </c>
    </row>
    <row r="11" spans="1:40">
      <c r="A11" s="76"/>
      <c r="B11" s="79"/>
      <c r="C11" s="80">
        <f>'[3]Т 1'!J58-Т2!C12</f>
        <v>1.3800000073388219E-2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</row>
    <row r="12" spans="1:40">
      <c r="A12" s="81"/>
      <c r="B12" s="82" t="s">
        <v>108</v>
      </c>
      <c r="C12" s="83">
        <f>SUM(D12:AC12)</f>
        <v>947177.39999999991</v>
      </c>
      <c r="D12" s="83">
        <f t="shared" ref="D12:AC12" si="0">SUM(D20,D23,D26,D34,D41,D49,D55,D60)</f>
        <v>248769.1</v>
      </c>
      <c r="E12" s="83">
        <f t="shared" si="0"/>
        <v>36531.199999999997</v>
      </c>
      <c r="F12" s="83">
        <f t="shared" si="0"/>
        <v>8931.6</v>
      </c>
      <c r="G12" s="83">
        <f t="shared" si="0"/>
        <v>2119</v>
      </c>
      <c r="H12" s="83">
        <f t="shared" si="0"/>
        <v>640</v>
      </c>
      <c r="I12" s="83">
        <f t="shared" si="0"/>
        <v>32903.800000000003</v>
      </c>
      <c r="J12" s="83">
        <f t="shared" si="0"/>
        <v>0</v>
      </c>
      <c r="K12" s="83">
        <f t="shared" si="0"/>
        <v>106640.5</v>
      </c>
      <c r="L12" s="83">
        <f t="shared" si="0"/>
        <v>155</v>
      </c>
      <c r="M12" s="83">
        <f t="shared" si="0"/>
        <v>20582.5</v>
      </c>
      <c r="N12" s="83">
        <f t="shared" si="0"/>
        <v>14026.2</v>
      </c>
      <c r="O12" s="83">
        <f t="shared" si="0"/>
        <v>65452.4</v>
      </c>
      <c r="P12" s="83">
        <f t="shared" si="0"/>
        <v>3694.8</v>
      </c>
      <c r="Q12" s="83">
        <f t="shared" si="0"/>
        <v>16992.099999999999</v>
      </c>
      <c r="R12" s="83">
        <f t="shared" si="0"/>
        <v>830.19999999999993</v>
      </c>
      <c r="S12" s="83">
        <f t="shared" si="0"/>
        <v>18187.7</v>
      </c>
      <c r="T12" s="83">
        <f t="shared" si="0"/>
        <v>37797</v>
      </c>
      <c r="U12" s="83">
        <f t="shared" si="0"/>
        <v>34270.800000000003</v>
      </c>
      <c r="V12" s="83">
        <f t="shared" si="0"/>
        <v>1433.1999999999998</v>
      </c>
      <c r="W12" s="83">
        <f t="shared" si="0"/>
        <v>9188.2000000000007</v>
      </c>
      <c r="X12" s="83">
        <f t="shared" si="0"/>
        <v>9722.2999999999993</v>
      </c>
      <c r="Y12" s="83">
        <f t="shared" si="0"/>
        <v>4310</v>
      </c>
      <c r="Z12" s="83">
        <f t="shared" si="0"/>
        <v>196614.8</v>
      </c>
      <c r="AA12" s="83">
        <f t="shared" si="0"/>
        <v>67254.700000000012</v>
      </c>
      <c r="AB12" s="83">
        <f t="shared" si="0"/>
        <v>4250</v>
      </c>
      <c r="AC12" s="83">
        <f t="shared" si="0"/>
        <v>5880.3</v>
      </c>
      <c r="AD12" s="71"/>
      <c r="AE12" s="71"/>
      <c r="AF12" s="71"/>
      <c r="AG12" s="71"/>
      <c r="AH12" s="71"/>
      <c r="AI12" s="71"/>
      <c r="AJ12" s="71"/>
      <c r="AN12" s="71"/>
    </row>
    <row r="13" spans="1:40">
      <c r="A13" s="76">
        <v>1</v>
      </c>
      <c r="B13" s="76" t="s">
        <v>109</v>
      </c>
      <c r="C13" s="79">
        <f t="shared" ref="C13:C19" si="1">SUM(D13:AC13)</f>
        <v>77890.200000000012</v>
      </c>
      <c r="D13" s="84">
        <f>23865+106.3</f>
        <v>23971.3</v>
      </c>
      <c r="E13" s="84">
        <f>3297.9+15.9</f>
        <v>3313.8</v>
      </c>
      <c r="F13" s="84">
        <v>739.7</v>
      </c>
      <c r="G13" s="84">
        <v>195.2</v>
      </c>
      <c r="H13" s="84"/>
      <c r="I13" s="84">
        <v>576</v>
      </c>
      <c r="J13" s="84"/>
      <c r="K13" s="84">
        <f>17363.3+18+350+500+500</f>
        <v>18731.3</v>
      </c>
      <c r="L13" s="84"/>
      <c r="M13" s="84"/>
      <c r="N13" s="84">
        <v>49.8</v>
      </c>
      <c r="O13" s="84">
        <v>236.5</v>
      </c>
      <c r="P13" s="84"/>
      <c r="Q13" s="84"/>
      <c r="R13" s="84"/>
      <c r="S13" s="84">
        <v>228.8</v>
      </c>
      <c r="T13" s="84">
        <v>1296.7</v>
      </c>
      <c r="U13" s="84"/>
      <c r="V13" s="84"/>
      <c r="W13" s="84"/>
      <c r="X13" s="84"/>
      <c r="Y13" s="84">
        <f>100+100+4000</f>
        <v>4200</v>
      </c>
      <c r="Z13" s="84">
        <v>500</v>
      </c>
      <c r="AA13" s="84">
        <v>23851.1</v>
      </c>
      <c r="AB13" s="84"/>
      <c r="AC13" s="84"/>
      <c r="AD13" s="71"/>
      <c r="AE13" s="71"/>
    </row>
    <row r="14" spans="1:40" s="89" customFormat="1">
      <c r="A14" s="85"/>
      <c r="B14" s="86" t="s">
        <v>110</v>
      </c>
      <c r="C14" s="87">
        <f t="shared" si="1"/>
        <v>4000</v>
      </c>
      <c r="D14" s="88"/>
      <c r="E14" s="88"/>
      <c r="F14" s="88"/>
      <c r="G14" s="88"/>
      <c r="H14" s="88"/>
      <c r="I14" s="88"/>
      <c r="J14" s="88"/>
      <c r="K14" s="8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7">
        <f>3000+1000</f>
        <v>4000</v>
      </c>
      <c r="Z14" s="79"/>
      <c r="AA14" s="79"/>
      <c r="AB14" s="79"/>
      <c r="AC14" s="79"/>
      <c r="AD14" s="71"/>
      <c r="AE14" s="71"/>
      <c r="AN14" s="90"/>
    </row>
    <row r="15" spans="1:40">
      <c r="A15" s="76">
        <v>2</v>
      </c>
      <c r="B15" s="76" t="s">
        <v>111</v>
      </c>
      <c r="C15" s="84">
        <f t="shared" si="1"/>
        <v>5181.3000000000011</v>
      </c>
      <c r="D15" s="84">
        <v>3713.5</v>
      </c>
      <c r="E15" s="84">
        <v>525.79999999999995</v>
      </c>
      <c r="F15" s="84">
        <v>133</v>
      </c>
      <c r="G15" s="84">
        <v>49.1</v>
      </c>
      <c r="H15" s="84"/>
      <c r="I15" s="84">
        <f>284.6+200</f>
        <v>484.6</v>
      </c>
      <c r="J15" s="84"/>
      <c r="K15" s="84">
        <v>135.69999999999999</v>
      </c>
      <c r="L15" s="84"/>
      <c r="M15" s="84"/>
      <c r="N15" s="84"/>
      <c r="O15" s="84">
        <v>129.6</v>
      </c>
      <c r="P15" s="84"/>
      <c r="Q15" s="84"/>
      <c r="R15" s="84"/>
      <c r="S15" s="84"/>
      <c r="T15" s="84"/>
      <c r="U15" s="84"/>
      <c r="V15" s="84"/>
      <c r="W15" s="84"/>
      <c r="X15" s="84"/>
      <c r="Y15" s="84">
        <v>10</v>
      </c>
      <c r="Z15" s="84"/>
      <c r="AA15" s="84"/>
      <c r="AB15" s="84"/>
      <c r="AC15" s="84"/>
      <c r="AD15" s="71"/>
      <c r="AE15" s="71"/>
    </row>
    <row r="16" spans="1:40" s="93" customFormat="1" ht="31.5">
      <c r="A16" s="91" t="s">
        <v>112</v>
      </c>
      <c r="B16" s="92" t="s">
        <v>113</v>
      </c>
      <c r="C16" s="84">
        <f t="shared" si="1"/>
        <v>11365.100000000002</v>
      </c>
      <c r="D16" s="84">
        <v>9089.2000000000007</v>
      </c>
      <c r="E16" s="84">
        <v>1218.7</v>
      </c>
      <c r="F16" s="84"/>
      <c r="G16" s="84">
        <v>86.9</v>
      </c>
      <c r="H16" s="84"/>
      <c r="I16" s="84">
        <v>220</v>
      </c>
      <c r="J16" s="84"/>
      <c r="K16" s="84">
        <v>146.1</v>
      </c>
      <c r="L16" s="84"/>
      <c r="M16" s="84"/>
      <c r="N16" s="84"/>
      <c r="O16" s="84">
        <v>70.2</v>
      </c>
      <c r="P16" s="84"/>
      <c r="Q16" s="84"/>
      <c r="R16" s="84"/>
      <c r="S16" s="84"/>
      <c r="T16" s="84">
        <v>58.3</v>
      </c>
      <c r="U16" s="84">
        <v>251</v>
      </c>
      <c r="V16" s="84"/>
      <c r="W16" s="84"/>
      <c r="X16" s="84"/>
      <c r="Y16" s="84"/>
      <c r="Z16" s="84"/>
      <c r="AA16" s="84">
        <v>224.7</v>
      </c>
      <c r="AB16" s="84"/>
      <c r="AC16" s="84"/>
      <c r="AD16" s="71"/>
      <c r="AE16" s="71"/>
    </row>
    <row r="17" spans="1:39">
      <c r="A17" s="76">
        <v>4</v>
      </c>
      <c r="B17" s="76" t="s">
        <v>114</v>
      </c>
      <c r="C17" s="79">
        <f t="shared" si="1"/>
        <v>9223.7999999999993</v>
      </c>
      <c r="D17" s="84">
        <v>7418</v>
      </c>
      <c r="E17" s="84">
        <v>988.4</v>
      </c>
      <c r="F17" s="84">
        <v>60.5</v>
      </c>
      <c r="G17" s="84">
        <v>29</v>
      </c>
      <c r="H17" s="84"/>
      <c r="I17" s="84">
        <v>292.39999999999998</v>
      </c>
      <c r="J17" s="84"/>
      <c r="K17" s="84">
        <v>147.5</v>
      </c>
      <c r="L17" s="84"/>
      <c r="M17" s="84"/>
      <c r="N17" s="84"/>
      <c r="O17" s="84">
        <v>38</v>
      </c>
      <c r="P17" s="84"/>
      <c r="Q17" s="84"/>
      <c r="R17" s="84"/>
      <c r="S17" s="84"/>
      <c r="T17" s="84">
        <v>110</v>
      </c>
      <c r="U17" s="84"/>
      <c r="V17" s="84"/>
      <c r="W17" s="84"/>
      <c r="X17" s="84"/>
      <c r="Y17" s="84"/>
      <c r="Z17" s="84"/>
      <c r="AA17" s="84">
        <v>140</v>
      </c>
      <c r="AB17" s="84"/>
      <c r="AC17" s="84"/>
      <c r="AD17" s="71"/>
      <c r="AE17" s="71"/>
    </row>
    <row r="18" spans="1:39" ht="31.5">
      <c r="A18" s="76">
        <v>5</v>
      </c>
      <c r="B18" s="94" t="s">
        <v>115</v>
      </c>
      <c r="C18" s="84">
        <f t="shared" si="1"/>
        <v>6381.2000000000007</v>
      </c>
      <c r="D18" s="84">
        <v>5113.2</v>
      </c>
      <c r="E18" s="84">
        <v>689.1</v>
      </c>
      <c r="F18" s="84">
        <v>41.4</v>
      </c>
      <c r="G18" s="84">
        <v>21</v>
      </c>
      <c r="H18" s="84"/>
      <c r="I18" s="84">
        <v>226.6</v>
      </c>
      <c r="J18" s="84"/>
      <c r="K18" s="84">
        <v>106.6</v>
      </c>
      <c r="L18" s="84"/>
      <c r="M18" s="84"/>
      <c r="N18" s="84"/>
      <c r="O18" s="84">
        <v>53.3</v>
      </c>
      <c r="P18" s="84"/>
      <c r="Q18" s="84"/>
      <c r="R18" s="84"/>
      <c r="S18" s="84"/>
      <c r="T18" s="84">
        <v>130</v>
      </c>
      <c r="U18" s="84"/>
      <c r="V18" s="84"/>
      <c r="W18" s="84"/>
      <c r="X18" s="84"/>
      <c r="Y18" s="84"/>
      <c r="Z18" s="84"/>
      <c r="AA18" s="84"/>
      <c r="AB18" s="84"/>
      <c r="AC18" s="84"/>
      <c r="AD18" s="71"/>
      <c r="AE18" s="71"/>
    </row>
    <row r="19" spans="1:39" ht="47.25">
      <c r="A19" s="76">
        <v>6</v>
      </c>
      <c r="B19" s="94" t="s">
        <v>116</v>
      </c>
      <c r="C19" s="79">
        <f t="shared" si="1"/>
        <v>1384.4</v>
      </c>
      <c r="D19" s="84">
        <v>241.9</v>
      </c>
      <c r="E19" s="84">
        <v>41.7</v>
      </c>
      <c r="F19" s="84"/>
      <c r="G19" s="84"/>
      <c r="H19" s="84"/>
      <c r="I19" s="84"/>
      <c r="J19" s="84"/>
      <c r="K19" s="84">
        <v>1100.8</v>
      </c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71"/>
      <c r="AE19" s="71"/>
    </row>
    <row r="20" spans="1:39">
      <c r="A20" s="81">
        <v>701</v>
      </c>
      <c r="B20" s="81" t="s">
        <v>117</v>
      </c>
      <c r="C20" s="83">
        <f>SUM(D20:AC20)</f>
        <v>111426</v>
      </c>
      <c r="D20" s="83">
        <f>SUM(D13:D19)-D14</f>
        <v>49547.1</v>
      </c>
      <c r="E20" s="83">
        <f t="shared" ref="E20:AC20" si="2">SUM(E13:E19)-E14</f>
        <v>6777.5</v>
      </c>
      <c r="F20" s="83">
        <f t="shared" si="2"/>
        <v>974.6</v>
      </c>
      <c r="G20" s="83">
        <f t="shared" si="2"/>
        <v>381.2</v>
      </c>
      <c r="H20" s="83">
        <f t="shared" si="2"/>
        <v>0</v>
      </c>
      <c r="I20" s="83">
        <f t="shared" si="2"/>
        <v>1799.6</v>
      </c>
      <c r="J20" s="83">
        <f t="shared" si="2"/>
        <v>0</v>
      </c>
      <c r="K20" s="83">
        <f t="shared" si="2"/>
        <v>20367.999999999996</v>
      </c>
      <c r="L20" s="83">
        <f t="shared" si="2"/>
        <v>0</v>
      </c>
      <c r="M20" s="83">
        <f t="shared" si="2"/>
        <v>0</v>
      </c>
      <c r="N20" s="83">
        <f t="shared" si="2"/>
        <v>49.8</v>
      </c>
      <c r="O20" s="83">
        <f t="shared" si="2"/>
        <v>527.6</v>
      </c>
      <c r="P20" s="83">
        <f t="shared" si="2"/>
        <v>0</v>
      </c>
      <c r="Q20" s="83">
        <f t="shared" si="2"/>
        <v>0</v>
      </c>
      <c r="R20" s="83">
        <f t="shared" si="2"/>
        <v>0</v>
      </c>
      <c r="S20" s="83">
        <f t="shared" si="2"/>
        <v>228.8</v>
      </c>
      <c r="T20" s="83">
        <f t="shared" si="2"/>
        <v>1595</v>
      </c>
      <c r="U20" s="83">
        <f t="shared" si="2"/>
        <v>251</v>
      </c>
      <c r="V20" s="83">
        <f t="shared" si="2"/>
        <v>0</v>
      </c>
      <c r="W20" s="83">
        <f t="shared" si="2"/>
        <v>0</v>
      </c>
      <c r="X20" s="83">
        <f t="shared" si="2"/>
        <v>0</v>
      </c>
      <c r="Y20" s="83">
        <f t="shared" si="2"/>
        <v>4210</v>
      </c>
      <c r="Z20" s="83">
        <f t="shared" si="2"/>
        <v>500</v>
      </c>
      <c r="AA20" s="83">
        <f t="shared" si="2"/>
        <v>24215.8</v>
      </c>
      <c r="AB20" s="83">
        <f t="shared" si="2"/>
        <v>0</v>
      </c>
      <c r="AC20" s="83">
        <f t="shared" si="2"/>
        <v>0</v>
      </c>
      <c r="AD20" s="71"/>
      <c r="AE20" s="71"/>
    </row>
    <row r="21" spans="1:39">
      <c r="A21" s="76"/>
      <c r="B21" s="76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1"/>
      <c r="AE21" s="71"/>
    </row>
    <row r="22" spans="1:39">
      <c r="A22" s="76">
        <v>7</v>
      </c>
      <c r="B22" s="76" t="s">
        <v>118</v>
      </c>
      <c r="C22" s="79">
        <f>SUM(D22:AC22)</f>
        <v>5647.4000000000005</v>
      </c>
      <c r="D22" s="84">
        <v>3190.1</v>
      </c>
      <c r="E22" s="84">
        <v>478.3</v>
      </c>
      <c r="F22" s="84"/>
      <c r="G22" s="84">
        <v>80</v>
      </c>
      <c r="H22" s="84"/>
      <c r="I22" s="84">
        <v>137.5</v>
      </c>
      <c r="J22" s="84"/>
      <c r="K22" s="84">
        <v>280.5</v>
      </c>
      <c r="L22" s="84"/>
      <c r="M22" s="84"/>
      <c r="N22" s="84">
        <v>100</v>
      </c>
      <c r="O22" s="84">
        <v>432.1</v>
      </c>
      <c r="P22" s="84"/>
      <c r="Q22" s="84">
        <v>150</v>
      </c>
      <c r="R22" s="84"/>
      <c r="S22" s="84">
        <v>163.1</v>
      </c>
      <c r="T22" s="84">
        <v>85.8</v>
      </c>
      <c r="U22" s="84"/>
      <c r="V22" s="84">
        <v>50</v>
      </c>
      <c r="W22" s="84"/>
      <c r="X22" s="84"/>
      <c r="Y22" s="84"/>
      <c r="Z22" s="84">
        <v>500</v>
      </c>
      <c r="AA22" s="84"/>
      <c r="AB22" s="84"/>
      <c r="AC22" s="84"/>
      <c r="AD22" s="71"/>
      <c r="AE22" s="71"/>
    </row>
    <row r="23" spans="1:39">
      <c r="A23" s="81">
        <v>702</v>
      </c>
      <c r="B23" s="81" t="s">
        <v>117</v>
      </c>
      <c r="C23" s="83">
        <f>SUM(D23:AC23)</f>
        <v>5647.4000000000005</v>
      </c>
      <c r="D23" s="83">
        <f t="shared" ref="D23:AC23" si="3">SUM(D22:D22)</f>
        <v>3190.1</v>
      </c>
      <c r="E23" s="83">
        <f t="shared" si="3"/>
        <v>478.3</v>
      </c>
      <c r="F23" s="83">
        <f t="shared" si="3"/>
        <v>0</v>
      </c>
      <c r="G23" s="83">
        <f t="shared" si="3"/>
        <v>80</v>
      </c>
      <c r="H23" s="83">
        <f t="shared" si="3"/>
        <v>0</v>
      </c>
      <c r="I23" s="83">
        <f t="shared" si="3"/>
        <v>137.5</v>
      </c>
      <c r="J23" s="83">
        <f t="shared" si="3"/>
        <v>0</v>
      </c>
      <c r="K23" s="83">
        <f t="shared" si="3"/>
        <v>280.5</v>
      </c>
      <c r="L23" s="83">
        <f t="shared" si="3"/>
        <v>0</v>
      </c>
      <c r="M23" s="83">
        <f t="shared" si="3"/>
        <v>0</v>
      </c>
      <c r="N23" s="83">
        <f t="shared" si="3"/>
        <v>100</v>
      </c>
      <c r="O23" s="83">
        <f t="shared" si="3"/>
        <v>432.1</v>
      </c>
      <c r="P23" s="83">
        <f t="shared" si="3"/>
        <v>0</v>
      </c>
      <c r="Q23" s="83">
        <f t="shared" si="3"/>
        <v>150</v>
      </c>
      <c r="R23" s="83">
        <f t="shared" si="3"/>
        <v>0</v>
      </c>
      <c r="S23" s="83">
        <f t="shared" si="3"/>
        <v>163.1</v>
      </c>
      <c r="T23" s="83">
        <f t="shared" si="3"/>
        <v>85.8</v>
      </c>
      <c r="U23" s="83">
        <f t="shared" si="3"/>
        <v>0</v>
      </c>
      <c r="V23" s="83">
        <f t="shared" si="3"/>
        <v>50</v>
      </c>
      <c r="W23" s="83">
        <f t="shared" si="3"/>
        <v>0</v>
      </c>
      <c r="X23" s="83">
        <f t="shared" si="3"/>
        <v>0</v>
      </c>
      <c r="Y23" s="83">
        <f t="shared" si="3"/>
        <v>0</v>
      </c>
      <c r="Z23" s="83">
        <f t="shared" si="3"/>
        <v>500</v>
      </c>
      <c r="AA23" s="83">
        <f t="shared" si="3"/>
        <v>0</v>
      </c>
      <c r="AB23" s="83">
        <f t="shared" si="3"/>
        <v>0</v>
      </c>
      <c r="AC23" s="83">
        <f t="shared" si="3"/>
        <v>0</v>
      </c>
      <c r="AD23" s="71"/>
      <c r="AE23" s="71"/>
    </row>
    <row r="24" spans="1:39">
      <c r="A24" s="76"/>
      <c r="B24" s="76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1"/>
      <c r="AE24" s="71"/>
    </row>
    <row r="25" spans="1:39">
      <c r="A25" s="76">
        <v>6</v>
      </c>
      <c r="B25" s="76" t="s">
        <v>119</v>
      </c>
      <c r="C25" s="79">
        <f>SUM(D25:Z25)</f>
        <v>0</v>
      </c>
      <c r="D25" s="83"/>
      <c r="E25" s="83"/>
      <c r="F25" s="83"/>
      <c r="G25" s="83"/>
      <c r="H25" s="83"/>
      <c r="I25" s="83"/>
      <c r="J25" s="83"/>
      <c r="K25" s="79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79"/>
      <c r="Z25" s="79"/>
      <c r="AA25" s="79"/>
      <c r="AB25" s="79"/>
      <c r="AC25" s="79"/>
      <c r="AD25" s="71"/>
      <c r="AE25" s="71"/>
    </row>
    <row r="26" spans="1:39">
      <c r="A26" s="81">
        <v>703</v>
      </c>
      <c r="B26" s="81" t="s">
        <v>117</v>
      </c>
      <c r="C26" s="83">
        <f>SUM(D26:Z26)</f>
        <v>0</v>
      </c>
      <c r="D26" s="83">
        <f t="shared" ref="D26:Z26" si="4">SUM(D25:D25)</f>
        <v>0</v>
      </c>
      <c r="E26" s="83">
        <f t="shared" si="4"/>
        <v>0</v>
      </c>
      <c r="F26" s="83">
        <f t="shared" si="4"/>
        <v>0</v>
      </c>
      <c r="G26" s="83">
        <f t="shared" si="4"/>
        <v>0</v>
      </c>
      <c r="H26" s="83">
        <f t="shared" si="4"/>
        <v>0</v>
      </c>
      <c r="I26" s="83">
        <f t="shared" si="4"/>
        <v>0</v>
      </c>
      <c r="J26" s="83">
        <f t="shared" si="4"/>
        <v>0</v>
      </c>
      <c r="K26" s="83">
        <f t="shared" si="4"/>
        <v>0</v>
      </c>
      <c r="L26" s="83">
        <f t="shared" si="4"/>
        <v>0</v>
      </c>
      <c r="M26" s="83">
        <f t="shared" si="4"/>
        <v>0</v>
      </c>
      <c r="N26" s="83">
        <f t="shared" si="4"/>
        <v>0</v>
      </c>
      <c r="O26" s="83">
        <f t="shared" si="4"/>
        <v>0</v>
      </c>
      <c r="P26" s="83">
        <f t="shared" si="4"/>
        <v>0</v>
      </c>
      <c r="Q26" s="83">
        <f t="shared" si="4"/>
        <v>0</v>
      </c>
      <c r="R26" s="83"/>
      <c r="S26" s="83">
        <f t="shared" si="4"/>
        <v>0</v>
      </c>
      <c r="T26" s="83">
        <f t="shared" si="4"/>
        <v>0</v>
      </c>
      <c r="U26" s="83">
        <f t="shared" si="4"/>
        <v>0</v>
      </c>
      <c r="V26" s="83">
        <f t="shared" si="4"/>
        <v>0</v>
      </c>
      <c r="W26" s="83"/>
      <c r="X26" s="83">
        <f t="shared" si="4"/>
        <v>0</v>
      </c>
      <c r="Y26" s="83">
        <f>SUM(Y25:Y25)</f>
        <v>0</v>
      </c>
      <c r="Z26" s="83">
        <f t="shared" si="4"/>
        <v>0</v>
      </c>
      <c r="AA26" s="83">
        <f>SUM(AA25:AA25)</f>
        <v>0</v>
      </c>
      <c r="AB26" s="83">
        <f>SUM(AB25:AB25)</f>
        <v>0</v>
      </c>
      <c r="AC26" s="83">
        <f>SUM(AC25:AC25)</f>
        <v>0</v>
      </c>
      <c r="AD26" s="71"/>
      <c r="AE26" s="71"/>
    </row>
    <row r="27" spans="1:39">
      <c r="A27" s="81"/>
      <c r="B27" s="81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71"/>
      <c r="AE27" s="71"/>
    </row>
    <row r="28" spans="1:39" ht="31.5">
      <c r="A28" s="76">
        <v>8</v>
      </c>
      <c r="B28" s="94" t="s">
        <v>120</v>
      </c>
      <c r="C28" s="79">
        <f t="shared" ref="C28:C40" si="5">SUM(D28:AC28)</f>
        <v>82058.3</v>
      </c>
      <c r="D28" s="84">
        <v>27478.2</v>
      </c>
      <c r="E28" s="84">
        <v>4119.6000000000004</v>
      </c>
      <c r="F28" s="84">
        <v>100</v>
      </c>
      <c r="G28" s="84">
        <v>30</v>
      </c>
      <c r="H28" s="84">
        <v>600</v>
      </c>
      <c r="I28" s="84">
        <v>17400.5</v>
      </c>
      <c r="J28" s="84"/>
      <c r="K28" s="84">
        <v>7059.3</v>
      </c>
      <c r="L28" s="84"/>
      <c r="M28" s="84"/>
      <c r="N28" s="84"/>
      <c r="O28" s="84">
        <f>6605+250</f>
        <v>6855</v>
      </c>
      <c r="P28" s="84">
        <v>598.70000000000005</v>
      </c>
      <c r="Q28" s="84">
        <v>4963.8</v>
      </c>
      <c r="R28" s="84"/>
      <c r="S28" s="84">
        <v>108.5</v>
      </c>
      <c r="T28" s="84">
        <v>2554</v>
      </c>
      <c r="U28" s="84"/>
      <c r="V28" s="84"/>
      <c r="W28" s="84"/>
      <c r="X28" s="84"/>
      <c r="Y28" s="84"/>
      <c r="Z28" s="84">
        <v>9600</v>
      </c>
      <c r="AA28" s="84">
        <v>590.70000000000005</v>
      </c>
      <c r="AB28" s="84"/>
      <c r="AC28" s="84"/>
      <c r="AD28" s="71"/>
      <c r="AE28" s="71"/>
      <c r="AF28" s="71"/>
      <c r="AG28" s="71"/>
      <c r="AH28" s="71"/>
    </row>
    <row r="29" spans="1:39" ht="31.5">
      <c r="A29" s="76">
        <v>9</v>
      </c>
      <c r="B29" s="94" t="s">
        <v>121</v>
      </c>
      <c r="C29" s="79">
        <f t="shared" si="5"/>
        <v>146231.40000000002</v>
      </c>
      <c r="D29" s="84">
        <v>7497.2</v>
      </c>
      <c r="E29" s="84">
        <v>1124</v>
      </c>
      <c r="F29" s="84">
        <v>54.6</v>
      </c>
      <c r="G29" s="84">
        <v>37.200000000000003</v>
      </c>
      <c r="H29" s="84"/>
      <c r="I29" s="84">
        <v>514.29999999999995</v>
      </c>
      <c r="J29" s="84"/>
      <c r="K29" s="84">
        <v>21816.400000000001</v>
      </c>
      <c r="L29" s="84"/>
      <c r="M29" s="84"/>
      <c r="N29" s="84"/>
      <c r="O29" s="84">
        <v>44.5</v>
      </c>
      <c r="P29" s="84"/>
      <c r="Q29" s="84"/>
      <c r="R29" s="84"/>
      <c r="S29" s="84">
        <v>44.4</v>
      </c>
      <c r="T29" s="84">
        <v>99</v>
      </c>
      <c r="U29" s="84"/>
      <c r="V29" s="84"/>
      <c r="W29" s="84"/>
      <c r="X29" s="76"/>
      <c r="Y29" s="84"/>
      <c r="Z29" s="79">
        <f>(47336.8+81500)+94.5+958.7-14790.2-100</f>
        <v>114999.8</v>
      </c>
      <c r="AA29" s="84"/>
      <c r="AB29" s="84"/>
      <c r="AC29" s="84"/>
      <c r="AD29" s="71"/>
      <c r="AE29" s="95"/>
      <c r="AF29" s="71"/>
      <c r="AG29" s="71"/>
      <c r="AH29" s="71"/>
      <c r="AI29" s="71"/>
      <c r="AK29" s="71"/>
      <c r="AM29" s="71"/>
    </row>
    <row r="30" spans="1:39" ht="31.5">
      <c r="A30" s="76">
        <v>10</v>
      </c>
      <c r="B30" s="94" t="s">
        <v>122</v>
      </c>
      <c r="C30" s="79">
        <f t="shared" si="5"/>
        <v>1959.2</v>
      </c>
      <c r="D30" s="84">
        <v>1482.3</v>
      </c>
      <c r="E30" s="84">
        <v>222.2</v>
      </c>
      <c r="F30" s="84">
        <v>86.4</v>
      </c>
      <c r="G30" s="84">
        <v>23.3</v>
      </c>
      <c r="H30" s="84"/>
      <c r="I30" s="84">
        <v>99</v>
      </c>
      <c r="J30" s="83"/>
      <c r="K30" s="79">
        <v>36.299999999999997</v>
      </c>
      <c r="L30" s="83"/>
      <c r="M30" s="83"/>
      <c r="N30" s="83"/>
      <c r="O30" s="84">
        <v>9.6999999999999993</v>
      </c>
      <c r="P30" s="84"/>
      <c r="Q30" s="83"/>
      <c r="R30" s="83"/>
      <c r="S30" s="83"/>
      <c r="T30" s="83"/>
      <c r="U30" s="83"/>
      <c r="V30" s="83"/>
      <c r="W30" s="83"/>
      <c r="X30" s="83"/>
      <c r="Y30" s="79"/>
      <c r="Z30" s="79"/>
      <c r="AA30" s="79"/>
      <c r="AB30" s="84"/>
      <c r="AC30" s="84"/>
      <c r="AD30" s="71"/>
      <c r="AE30" s="71"/>
      <c r="AM30" s="71"/>
    </row>
    <row r="31" spans="1:39">
      <c r="A31" s="76">
        <v>11</v>
      </c>
      <c r="B31" s="76" t="s">
        <v>123</v>
      </c>
      <c r="C31" s="79">
        <f t="shared" si="5"/>
        <v>0</v>
      </c>
      <c r="D31" s="83"/>
      <c r="E31" s="83"/>
      <c r="F31" s="83"/>
      <c r="G31" s="83"/>
      <c r="H31" s="83"/>
      <c r="I31" s="83"/>
      <c r="J31" s="83"/>
      <c r="K31" s="79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4"/>
      <c r="X31" s="83"/>
      <c r="Y31" s="79"/>
      <c r="Z31" s="79"/>
      <c r="AA31" s="79"/>
      <c r="AB31" s="79"/>
      <c r="AC31" s="79"/>
      <c r="AD31" s="71"/>
      <c r="AE31" s="71"/>
    </row>
    <row r="32" spans="1:39">
      <c r="A32" s="76">
        <v>12</v>
      </c>
      <c r="B32" s="21" t="s">
        <v>124</v>
      </c>
      <c r="C32" s="79">
        <f t="shared" si="5"/>
        <v>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71"/>
      <c r="AE32" s="71"/>
    </row>
    <row r="33" spans="1:35">
      <c r="A33" s="76">
        <v>11</v>
      </c>
      <c r="B33" s="76" t="s">
        <v>125</v>
      </c>
      <c r="C33" s="79">
        <f t="shared" si="5"/>
        <v>30000</v>
      </c>
      <c r="D33" s="83"/>
      <c r="E33" s="83"/>
      <c r="F33" s="83"/>
      <c r="G33" s="83"/>
      <c r="H33" s="83"/>
      <c r="I33" s="83"/>
      <c r="J33" s="83"/>
      <c r="K33" s="79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79"/>
      <c r="X33" s="83"/>
      <c r="Y33" s="79"/>
      <c r="Z33" s="79">
        <f>40000-10000</f>
        <v>30000</v>
      </c>
      <c r="AA33" s="79"/>
      <c r="AB33" s="79"/>
      <c r="AC33" s="79"/>
      <c r="AD33" s="71"/>
      <c r="AE33" s="71"/>
    </row>
    <row r="34" spans="1:35">
      <c r="A34" s="81">
        <v>704</v>
      </c>
      <c r="B34" s="81" t="s">
        <v>117</v>
      </c>
      <c r="C34" s="83">
        <f>SUM(D34:AC34)</f>
        <v>260248.9</v>
      </c>
      <c r="D34" s="77">
        <f>SUM(D28:D33)</f>
        <v>36457.700000000004</v>
      </c>
      <c r="E34" s="77">
        <f t="shared" ref="E34:AC34" si="6">SUM(E28:E33)</f>
        <v>5465.8</v>
      </c>
      <c r="F34" s="77">
        <f t="shared" si="6"/>
        <v>241</v>
      </c>
      <c r="G34" s="77">
        <f t="shared" si="6"/>
        <v>90.5</v>
      </c>
      <c r="H34" s="77">
        <f t="shared" si="6"/>
        <v>600</v>
      </c>
      <c r="I34" s="77">
        <f t="shared" si="6"/>
        <v>18013.8</v>
      </c>
      <c r="J34" s="77">
        <f t="shared" si="6"/>
        <v>0</v>
      </c>
      <c r="K34" s="77">
        <f t="shared" si="6"/>
        <v>28912</v>
      </c>
      <c r="L34" s="77">
        <f t="shared" si="6"/>
        <v>0</v>
      </c>
      <c r="M34" s="77">
        <f t="shared" si="6"/>
        <v>0</v>
      </c>
      <c r="N34" s="77">
        <f t="shared" si="6"/>
        <v>0</v>
      </c>
      <c r="O34" s="77">
        <f t="shared" si="6"/>
        <v>6909.2</v>
      </c>
      <c r="P34" s="77">
        <f t="shared" si="6"/>
        <v>598.70000000000005</v>
      </c>
      <c r="Q34" s="77">
        <f t="shared" si="6"/>
        <v>4963.8</v>
      </c>
      <c r="R34" s="77">
        <f t="shared" si="6"/>
        <v>0</v>
      </c>
      <c r="S34" s="77">
        <f t="shared" si="6"/>
        <v>152.9</v>
      </c>
      <c r="T34" s="77">
        <f t="shared" si="6"/>
        <v>2653</v>
      </c>
      <c r="U34" s="77">
        <f t="shared" si="6"/>
        <v>0</v>
      </c>
      <c r="V34" s="77">
        <f t="shared" si="6"/>
        <v>0</v>
      </c>
      <c r="W34" s="77">
        <f t="shared" si="6"/>
        <v>0</v>
      </c>
      <c r="X34" s="77">
        <f t="shared" si="6"/>
        <v>0</v>
      </c>
      <c r="Y34" s="77">
        <f t="shared" si="6"/>
        <v>0</v>
      </c>
      <c r="Z34" s="77">
        <f t="shared" si="6"/>
        <v>154599.79999999999</v>
      </c>
      <c r="AA34" s="77">
        <f t="shared" si="6"/>
        <v>590.70000000000005</v>
      </c>
      <c r="AB34" s="77">
        <f t="shared" si="6"/>
        <v>0</v>
      </c>
      <c r="AC34" s="77">
        <f t="shared" si="6"/>
        <v>0</v>
      </c>
      <c r="AD34" s="71"/>
      <c r="AE34" s="71"/>
    </row>
    <row r="35" spans="1:35">
      <c r="A35" s="76">
        <v>12</v>
      </c>
      <c r="B35" s="19" t="s">
        <v>126</v>
      </c>
      <c r="C35" s="79">
        <f t="shared" si="5"/>
        <v>132363</v>
      </c>
      <c r="D35" s="84">
        <v>25632.2</v>
      </c>
      <c r="E35" s="84">
        <v>3842.8</v>
      </c>
      <c r="F35" s="84">
        <v>40</v>
      </c>
      <c r="G35" s="84">
        <v>40</v>
      </c>
      <c r="H35" s="84"/>
      <c r="I35" s="84">
        <v>5686.8</v>
      </c>
      <c r="J35" s="84"/>
      <c r="K35" s="84">
        <f>4827.5+330-300</f>
        <v>4857.5</v>
      </c>
      <c r="L35" s="84"/>
      <c r="M35" s="84"/>
      <c r="N35" s="84">
        <v>2500</v>
      </c>
      <c r="O35" s="84">
        <f>23963.2+5000+1000-500-1000-1000</f>
        <v>27463.200000000001</v>
      </c>
      <c r="P35" s="84">
        <v>315</v>
      </c>
      <c r="Q35" s="84">
        <v>41.3</v>
      </c>
      <c r="R35" s="84"/>
      <c r="S35" s="84">
        <v>1000</v>
      </c>
      <c r="T35" s="84">
        <v>9994.2000000000007</v>
      </c>
      <c r="U35" s="84"/>
      <c r="V35" s="84"/>
      <c r="W35" s="84"/>
      <c r="X35" s="84"/>
      <c r="Y35" s="84"/>
      <c r="Z35" s="84">
        <f>35000+2000+1000+1000+1000</f>
        <v>40000</v>
      </c>
      <c r="AA35" s="84">
        <f>11150-200</f>
        <v>10950</v>
      </c>
      <c r="AB35" s="84"/>
      <c r="AC35" s="84"/>
      <c r="AD35" s="71"/>
      <c r="AE35" s="71"/>
    </row>
    <row r="36" spans="1:35" s="93" customFormat="1">
      <c r="A36" s="96">
        <v>13</v>
      </c>
      <c r="B36" s="96" t="s">
        <v>127</v>
      </c>
      <c r="C36" s="84">
        <f t="shared" si="5"/>
        <v>64033.600000000006</v>
      </c>
      <c r="D36" s="84">
        <f>35335.9-251.3</f>
        <v>35084.6</v>
      </c>
      <c r="E36" s="84">
        <f>5433.2-43.4</f>
        <v>5389.8</v>
      </c>
      <c r="F36" s="84">
        <v>25</v>
      </c>
      <c r="G36" s="84">
        <v>16.8</v>
      </c>
      <c r="H36" s="84"/>
      <c r="I36" s="84">
        <v>4920.2</v>
      </c>
      <c r="J36" s="84"/>
      <c r="K36" s="84">
        <v>2632.9</v>
      </c>
      <c r="L36" s="84"/>
      <c r="M36" s="84"/>
      <c r="N36" s="84"/>
      <c r="O36" s="84">
        <v>2749.3</v>
      </c>
      <c r="P36" s="84">
        <v>410.5</v>
      </c>
      <c r="Q36" s="84">
        <v>84</v>
      </c>
      <c r="R36" s="84"/>
      <c r="S36" s="84">
        <v>2356</v>
      </c>
      <c r="T36" s="84">
        <v>249.7</v>
      </c>
      <c r="U36" s="84"/>
      <c r="V36" s="84"/>
      <c r="W36" s="84"/>
      <c r="X36" s="84"/>
      <c r="Y36" s="84"/>
      <c r="Z36" s="84">
        <v>940</v>
      </c>
      <c r="AA36" s="84">
        <v>4924.8</v>
      </c>
      <c r="AB36" s="84">
        <f>3250+1000</f>
        <v>4250</v>
      </c>
      <c r="AC36" s="84"/>
      <c r="AD36" s="71"/>
      <c r="AE36" s="71"/>
      <c r="AF36" s="97"/>
      <c r="AH36" s="97"/>
      <c r="AI36" s="98"/>
    </row>
    <row r="37" spans="1:35">
      <c r="A37" s="76">
        <v>14</v>
      </c>
      <c r="B37" s="19" t="s">
        <v>128</v>
      </c>
      <c r="C37" s="79">
        <f t="shared" si="5"/>
        <v>41581.100000000006</v>
      </c>
      <c r="D37" s="84">
        <v>30301.200000000001</v>
      </c>
      <c r="E37" s="84">
        <v>4542.8</v>
      </c>
      <c r="F37" s="84"/>
      <c r="G37" s="84"/>
      <c r="H37" s="84"/>
      <c r="I37" s="84">
        <v>1434.4</v>
      </c>
      <c r="J37" s="84"/>
      <c r="K37" s="84">
        <v>1896.4</v>
      </c>
      <c r="L37" s="84"/>
      <c r="M37" s="84"/>
      <c r="N37" s="84"/>
      <c r="O37" s="84">
        <v>2795.3</v>
      </c>
      <c r="P37" s="84">
        <v>611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1"/>
      <c r="AE37" s="71"/>
    </row>
    <row r="38" spans="1:35">
      <c r="A38" s="76">
        <v>15</v>
      </c>
      <c r="B38" s="96" t="s">
        <v>40</v>
      </c>
      <c r="C38" s="79">
        <f t="shared" si="5"/>
        <v>30103.699999999997</v>
      </c>
      <c r="D38" s="84">
        <v>21254</v>
      </c>
      <c r="E38" s="84">
        <v>2946.1</v>
      </c>
      <c r="F38" s="84">
        <v>51.2</v>
      </c>
      <c r="G38" s="84">
        <v>110.8</v>
      </c>
      <c r="H38" s="84"/>
      <c r="I38" s="84"/>
      <c r="J38" s="84"/>
      <c r="K38" s="84">
        <f>4334.5-156-900</f>
        <v>3278.5</v>
      </c>
      <c r="L38" s="84"/>
      <c r="M38" s="84"/>
      <c r="N38" s="84"/>
      <c r="O38" s="84">
        <v>104</v>
      </c>
      <c r="P38" s="84">
        <v>66.099999999999994</v>
      </c>
      <c r="Q38" s="84"/>
      <c r="R38" s="84">
        <f>90+18</f>
        <v>108</v>
      </c>
      <c r="S38" s="84">
        <v>30</v>
      </c>
      <c r="T38" s="84">
        <f>947.2-257.2</f>
        <v>690</v>
      </c>
      <c r="U38" s="84"/>
      <c r="V38" s="84"/>
      <c r="W38" s="84"/>
      <c r="X38" s="84"/>
      <c r="Y38" s="84">
        <v>100</v>
      </c>
      <c r="Z38" s="84"/>
      <c r="AA38" s="84">
        <f>365+1000</f>
        <v>1365</v>
      </c>
      <c r="AB38" s="84"/>
      <c r="AC38" s="84"/>
      <c r="AD38" s="71"/>
      <c r="AE38" s="71"/>
    </row>
    <row r="39" spans="1:35">
      <c r="A39" s="96">
        <v>16</v>
      </c>
      <c r="B39" s="94" t="s">
        <v>129</v>
      </c>
      <c r="C39" s="79">
        <f t="shared" si="5"/>
        <v>46967.4</v>
      </c>
      <c r="D39" s="84">
        <v>22632.9</v>
      </c>
      <c r="E39" s="84">
        <v>3041.1</v>
      </c>
      <c r="F39" s="84">
        <v>100</v>
      </c>
      <c r="G39" s="84">
        <v>186.2</v>
      </c>
      <c r="H39" s="84"/>
      <c r="I39" s="84">
        <v>210.6</v>
      </c>
      <c r="J39" s="84"/>
      <c r="K39" s="84">
        <f>13718+5.6+201.1</f>
        <v>13924.7</v>
      </c>
      <c r="L39" s="84"/>
      <c r="M39" s="84"/>
      <c r="N39" s="84">
        <v>30</v>
      </c>
      <c r="O39" s="84">
        <v>185.6</v>
      </c>
      <c r="P39" s="84">
        <v>350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>
        <v>426</v>
      </c>
      <c r="AB39" s="84"/>
      <c r="AC39" s="84">
        <f>6737+83.3+560-1500</f>
        <v>5880.3</v>
      </c>
      <c r="AD39" s="71"/>
      <c r="AE39" s="71"/>
    </row>
    <row r="40" spans="1:35">
      <c r="A40" s="96">
        <v>17</v>
      </c>
      <c r="B40" s="94" t="s">
        <v>130</v>
      </c>
      <c r="C40" s="79">
        <f t="shared" si="5"/>
        <v>7000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>
        <v>7000</v>
      </c>
      <c r="X40" s="84"/>
      <c r="Y40" s="84"/>
      <c r="Z40" s="84"/>
      <c r="AA40" s="84"/>
      <c r="AB40" s="84"/>
      <c r="AC40" s="84"/>
      <c r="AD40" s="71"/>
      <c r="AE40" s="71"/>
    </row>
    <row r="41" spans="1:35">
      <c r="A41" s="81">
        <v>706</v>
      </c>
      <c r="B41" s="81" t="s">
        <v>117</v>
      </c>
      <c r="C41" s="83">
        <f>SUM(D41:AC41)</f>
        <v>322048.79999999993</v>
      </c>
      <c r="D41" s="83">
        <f t="shared" ref="D41:AC41" si="7">SUM(D35:D40)</f>
        <v>134904.9</v>
      </c>
      <c r="E41" s="83">
        <f t="shared" si="7"/>
        <v>19762.599999999999</v>
      </c>
      <c r="F41" s="83">
        <f t="shared" si="7"/>
        <v>216.2</v>
      </c>
      <c r="G41" s="83">
        <f t="shared" si="7"/>
        <v>353.79999999999995</v>
      </c>
      <c r="H41" s="83">
        <f t="shared" si="7"/>
        <v>0</v>
      </c>
      <c r="I41" s="83">
        <f t="shared" si="7"/>
        <v>12252</v>
      </c>
      <c r="J41" s="83">
        <f t="shared" si="7"/>
        <v>0</v>
      </c>
      <c r="K41" s="83">
        <f t="shared" si="7"/>
        <v>26590</v>
      </c>
      <c r="L41" s="83">
        <f t="shared" si="7"/>
        <v>0</v>
      </c>
      <c r="M41" s="83">
        <f t="shared" si="7"/>
        <v>0</v>
      </c>
      <c r="N41" s="83">
        <f t="shared" si="7"/>
        <v>2530</v>
      </c>
      <c r="O41" s="83">
        <f t="shared" si="7"/>
        <v>33297.4</v>
      </c>
      <c r="P41" s="83">
        <f t="shared" si="7"/>
        <v>1752.6</v>
      </c>
      <c r="Q41" s="83">
        <f t="shared" si="7"/>
        <v>125.3</v>
      </c>
      <c r="R41" s="83">
        <f t="shared" si="7"/>
        <v>108</v>
      </c>
      <c r="S41" s="83">
        <f t="shared" si="7"/>
        <v>3386</v>
      </c>
      <c r="T41" s="83">
        <f t="shared" si="7"/>
        <v>10933.900000000001</v>
      </c>
      <c r="U41" s="83">
        <f t="shared" si="7"/>
        <v>0</v>
      </c>
      <c r="V41" s="83">
        <f t="shared" si="7"/>
        <v>0</v>
      </c>
      <c r="W41" s="83">
        <f t="shared" si="7"/>
        <v>7000</v>
      </c>
      <c r="X41" s="83">
        <f t="shared" si="7"/>
        <v>0</v>
      </c>
      <c r="Y41" s="83">
        <f t="shared" si="7"/>
        <v>100</v>
      </c>
      <c r="Z41" s="83">
        <f t="shared" si="7"/>
        <v>40940</v>
      </c>
      <c r="AA41" s="83">
        <f t="shared" si="7"/>
        <v>17665.8</v>
      </c>
      <c r="AB41" s="83">
        <f t="shared" si="7"/>
        <v>4250</v>
      </c>
      <c r="AC41" s="83">
        <f t="shared" si="7"/>
        <v>5880.3</v>
      </c>
      <c r="AD41" s="71"/>
      <c r="AE41" s="71"/>
    </row>
    <row r="42" spans="1:35">
      <c r="A42" s="81"/>
      <c r="B42" s="81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71"/>
      <c r="AE42" s="71"/>
    </row>
    <row r="43" spans="1:35">
      <c r="A43" s="76">
        <v>18</v>
      </c>
      <c r="B43" s="76" t="s">
        <v>131</v>
      </c>
      <c r="C43" s="79">
        <f t="shared" ref="C43:C48" si="8">SUM(D43:AC43)</f>
        <v>17173</v>
      </c>
      <c r="D43" s="79">
        <v>2533.8000000000002</v>
      </c>
      <c r="E43" s="79">
        <v>437.1</v>
      </c>
      <c r="F43" s="79">
        <v>15</v>
      </c>
      <c r="G43" s="79">
        <v>18</v>
      </c>
      <c r="H43" s="79"/>
      <c r="I43" s="79">
        <f>50.4+39.6</f>
        <v>90</v>
      </c>
      <c r="J43" s="79"/>
      <c r="K43" s="79">
        <v>12817.3</v>
      </c>
      <c r="L43" s="79"/>
      <c r="M43" s="39"/>
      <c r="N43" s="79">
        <v>30</v>
      </c>
      <c r="O43" s="79">
        <v>24.4</v>
      </c>
      <c r="P43" s="79">
        <f>140+759.5</f>
        <v>899.5</v>
      </c>
      <c r="Q43" s="79"/>
      <c r="R43" s="79"/>
      <c r="S43" s="79">
        <v>36.9</v>
      </c>
      <c r="T43" s="79">
        <v>183</v>
      </c>
      <c r="U43" s="79"/>
      <c r="V43" s="79"/>
      <c r="W43" s="79"/>
      <c r="X43" s="79"/>
      <c r="Y43" s="79"/>
      <c r="Z43" s="79"/>
      <c r="AA43" s="79">
        <f>1588-1500</f>
        <v>88</v>
      </c>
      <c r="AB43" s="79"/>
      <c r="AC43" s="84"/>
      <c r="AD43" s="71"/>
      <c r="AE43" s="71"/>
    </row>
    <row r="44" spans="1:35">
      <c r="A44" s="76">
        <v>19</v>
      </c>
      <c r="B44" s="76" t="s">
        <v>132</v>
      </c>
      <c r="C44" s="79">
        <f t="shared" si="8"/>
        <v>1715.1999999999998</v>
      </c>
      <c r="D44" s="84">
        <v>1253.8</v>
      </c>
      <c r="E44" s="84">
        <v>216.3</v>
      </c>
      <c r="F44" s="84">
        <v>40</v>
      </c>
      <c r="G44" s="84">
        <v>18</v>
      </c>
      <c r="H44" s="84"/>
      <c r="I44" s="84"/>
      <c r="J44" s="84"/>
      <c r="K44" s="84">
        <v>86.1</v>
      </c>
      <c r="L44" s="84"/>
      <c r="M44" s="84"/>
      <c r="N44" s="84"/>
      <c r="O44" s="84">
        <v>20</v>
      </c>
      <c r="P44" s="84"/>
      <c r="Q44" s="84"/>
      <c r="R44" s="84"/>
      <c r="S44" s="84">
        <v>7</v>
      </c>
      <c r="T44" s="84">
        <v>14</v>
      </c>
      <c r="U44" s="84"/>
      <c r="V44" s="84"/>
      <c r="W44" s="84"/>
      <c r="X44" s="84"/>
      <c r="Y44" s="84"/>
      <c r="Z44" s="84"/>
      <c r="AA44" s="84">
        <v>60</v>
      </c>
      <c r="AB44" s="84"/>
      <c r="AC44" s="84"/>
      <c r="AD44" s="71"/>
      <c r="AE44" s="71"/>
    </row>
    <row r="45" spans="1:35">
      <c r="A45" s="76">
        <v>20</v>
      </c>
      <c r="B45" s="76" t="s">
        <v>133</v>
      </c>
      <c r="C45" s="79">
        <f t="shared" si="8"/>
        <v>5626.9999999999991</v>
      </c>
      <c r="D45" s="84">
        <v>4203.2</v>
      </c>
      <c r="E45" s="84">
        <v>630.20000000000005</v>
      </c>
      <c r="F45" s="84">
        <v>50</v>
      </c>
      <c r="G45" s="84">
        <v>29.2</v>
      </c>
      <c r="H45" s="84"/>
      <c r="I45" s="84">
        <v>129.80000000000001</v>
      </c>
      <c r="J45" s="84"/>
      <c r="K45" s="84">
        <v>85.4</v>
      </c>
      <c r="L45" s="84"/>
      <c r="M45" s="84"/>
      <c r="N45" s="84"/>
      <c r="O45" s="84">
        <v>4.2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>
        <f>292+203</f>
        <v>495</v>
      </c>
      <c r="AB45" s="84"/>
      <c r="AC45" s="79"/>
      <c r="AD45" s="71"/>
      <c r="AE45" s="71"/>
    </row>
    <row r="46" spans="1:35" ht="31.5">
      <c r="A46" s="76">
        <v>21</v>
      </c>
      <c r="B46" s="94" t="s">
        <v>134</v>
      </c>
      <c r="C46" s="79">
        <f t="shared" si="8"/>
        <v>19576.900000000001</v>
      </c>
      <c r="D46" s="84">
        <v>1772.5</v>
      </c>
      <c r="E46" s="84">
        <v>231.1</v>
      </c>
      <c r="F46" s="84">
        <v>6460</v>
      </c>
      <c r="G46" s="84"/>
      <c r="H46" s="84"/>
      <c r="I46" s="84"/>
      <c r="J46" s="84"/>
      <c r="K46" s="84">
        <v>4055.8</v>
      </c>
      <c r="L46" s="84"/>
      <c r="M46" s="84">
        <v>6899</v>
      </c>
      <c r="N46" s="84"/>
      <c r="O46" s="79">
        <v>18.5</v>
      </c>
      <c r="P46" s="79"/>
      <c r="Q46" s="79"/>
      <c r="R46" s="79"/>
      <c r="S46" s="79"/>
      <c r="T46" s="79">
        <v>100</v>
      </c>
      <c r="U46" s="79"/>
      <c r="V46" s="79"/>
      <c r="W46" s="79"/>
      <c r="X46" s="79"/>
      <c r="Y46" s="79"/>
      <c r="Z46" s="79"/>
      <c r="AA46" s="79">
        <v>40</v>
      </c>
      <c r="AB46" s="84"/>
      <c r="AC46" s="84"/>
      <c r="AD46" s="71"/>
      <c r="AE46" s="71"/>
    </row>
    <row r="47" spans="1:35">
      <c r="A47" s="76">
        <v>22</v>
      </c>
      <c r="B47" s="76" t="s">
        <v>135</v>
      </c>
      <c r="C47" s="79">
        <f t="shared" si="8"/>
        <v>13441.8</v>
      </c>
      <c r="D47" s="84">
        <v>5438.6</v>
      </c>
      <c r="E47" s="84">
        <v>815.4</v>
      </c>
      <c r="F47" s="84"/>
      <c r="G47" s="84">
        <v>370.7</v>
      </c>
      <c r="H47" s="84"/>
      <c r="I47" s="84">
        <v>164.5</v>
      </c>
      <c r="J47" s="84"/>
      <c r="K47" s="84">
        <v>252</v>
      </c>
      <c r="L47" s="84"/>
      <c r="M47" s="84"/>
      <c r="N47" s="84"/>
      <c r="O47" s="84">
        <v>4488.6000000000004</v>
      </c>
      <c r="P47" s="84"/>
      <c r="Q47" s="84"/>
      <c r="R47" s="84"/>
      <c r="S47" s="84">
        <v>1301.2</v>
      </c>
      <c r="T47" s="84">
        <v>490.8</v>
      </c>
      <c r="U47" s="84"/>
      <c r="V47" s="84"/>
      <c r="W47" s="84"/>
      <c r="X47" s="84"/>
      <c r="Y47" s="84"/>
      <c r="Z47" s="84">
        <v>75</v>
      </c>
      <c r="AA47" s="84">
        <v>45</v>
      </c>
      <c r="AB47" s="84"/>
      <c r="AC47" s="79"/>
      <c r="AD47" s="71"/>
      <c r="AE47" s="71"/>
    </row>
    <row r="48" spans="1:35">
      <c r="A48" s="76">
        <v>23</v>
      </c>
      <c r="B48" s="76" t="s">
        <v>136</v>
      </c>
      <c r="C48" s="79">
        <f t="shared" si="8"/>
        <v>2331.3000000000002</v>
      </c>
      <c r="D48" s="84">
        <v>1988.3</v>
      </c>
      <c r="E48" s="84">
        <v>343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79"/>
      <c r="AD48" s="71"/>
      <c r="AE48" s="71"/>
    </row>
    <row r="49" spans="1:31">
      <c r="A49" s="81">
        <v>708</v>
      </c>
      <c r="B49" s="81" t="s">
        <v>117</v>
      </c>
      <c r="C49" s="83">
        <f>SUM(D49:AC49)</f>
        <v>59865.200000000004</v>
      </c>
      <c r="D49" s="83">
        <f>SUM(D43:D48)</f>
        <v>17190.2</v>
      </c>
      <c r="E49" s="83">
        <f t="shared" ref="E49:AC49" si="9">SUM(E43:E48)</f>
        <v>2673.1</v>
      </c>
      <c r="F49" s="83">
        <f t="shared" si="9"/>
        <v>6565</v>
      </c>
      <c r="G49" s="83">
        <f t="shared" si="9"/>
        <v>435.9</v>
      </c>
      <c r="H49" s="83">
        <f t="shared" si="9"/>
        <v>0</v>
      </c>
      <c r="I49" s="83">
        <f t="shared" si="9"/>
        <v>384.3</v>
      </c>
      <c r="J49" s="83">
        <f t="shared" si="9"/>
        <v>0</v>
      </c>
      <c r="K49" s="83">
        <f t="shared" si="9"/>
        <v>17296.599999999999</v>
      </c>
      <c r="L49" s="83">
        <f t="shared" si="9"/>
        <v>0</v>
      </c>
      <c r="M49" s="83">
        <f t="shared" si="9"/>
        <v>6899</v>
      </c>
      <c r="N49" s="83">
        <f t="shared" si="9"/>
        <v>30</v>
      </c>
      <c r="O49" s="83">
        <f t="shared" si="9"/>
        <v>4555.7000000000007</v>
      </c>
      <c r="P49" s="83">
        <f t="shared" si="9"/>
        <v>899.5</v>
      </c>
      <c r="Q49" s="83">
        <f t="shared" si="9"/>
        <v>0</v>
      </c>
      <c r="R49" s="83">
        <f t="shared" si="9"/>
        <v>0</v>
      </c>
      <c r="S49" s="83">
        <f t="shared" si="9"/>
        <v>1345.1000000000001</v>
      </c>
      <c r="T49" s="83">
        <f t="shared" si="9"/>
        <v>787.8</v>
      </c>
      <c r="U49" s="83">
        <f t="shared" si="9"/>
        <v>0</v>
      </c>
      <c r="V49" s="83">
        <f t="shared" si="9"/>
        <v>0</v>
      </c>
      <c r="W49" s="83">
        <f t="shared" si="9"/>
        <v>0</v>
      </c>
      <c r="X49" s="83">
        <f t="shared" si="9"/>
        <v>0</v>
      </c>
      <c r="Y49" s="83">
        <f t="shared" si="9"/>
        <v>0</v>
      </c>
      <c r="Z49" s="83">
        <f t="shared" si="9"/>
        <v>75</v>
      </c>
      <c r="AA49" s="83">
        <f t="shared" si="9"/>
        <v>728</v>
      </c>
      <c r="AB49" s="83">
        <f t="shared" si="9"/>
        <v>0</v>
      </c>
      <c r="AC49" s="83">
        <f t="shared" si="9"/>
        <v>0</v>
      </c>
      <c r="AD49" s="71"/>
      <c r="AE49" s="71"/>
    </row>
    <row r="50" spans="1:31">
      <c r="A50" s="81"/>
      <c r="B50" s="81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71"/>
      <c r="AE50" s="71"/>
    </row>
    <row r="51" spans="1:31">
      <c r="A51" s="76">
        <v>24</v>
      </c>
      <c r="B51" s="76" t="s">
        <v>137</v>
      </c>
      <c r="C51" s="79">
        <f t="shared" ref="C51:C54" si="10">SUM(D51:AC51)</f>
        <v>80822.8</v>
      </c>
      <c r="D51" s="84"/>
      <c r="E51" s="84"/>
      <c r="F51" s="84"/>
      <c r="G51" s="84">
        <v>65</v>
      </c>
      <c r="H51" s="84"/>
      <c r="I51" s="84"/>
      <c r="J51" s="84"/>
      <c r="K51" s="84">
        <f>8414.1-1045.2</f>
        <v>7368.9000000000005</v>
      </c>
      <c r="L51" s="84"/>
      <c r="M51" s="84"/>
      <c r="N51" s="84">
        <f>8759.2-501.6-958.7</f>
        <v>7298.9000000000005</v>
      </c>
      <c r="O51" s="84">
        <v>3912.3</v>
      </c>
      <c r="P51" s="84"/>
      <c r="Q51" s="84">
        <v>8151</v>
      </c>
      <c r="R51" s="84">
        <f>874.3-152.1</f>
        <v>722.19999999999993</v>
      </c>
      <c r="S51" s="84">
        <v>8005.8</v>
      </c>
      <c r="T51" s="84">
        <v>12770.1</v>
      </c>
      <c r="U51" s="84">
        <f>21500.1-5000</f>
        <v>16500.099999999999</v>
      </c>
      <c r="V51" s="84"/>
      <c r="W51" s="84"/>
      <c r="X51" s="84">
        <v>4500</v>
      </c>
      <c r="Y51" s="84"/>
      <c r="Z51" s="84"/>
      <c r="AA51" s="84">
        <f>13098.5-1570</f>
        <v>11528.5</v>
      </c>
      <c r="AB51" s="84"/>
      <c r="AC51" s="84"/>
      <c r="AD51" s="71"/>
      <c r="AE51" s="71"/>
    </row>
    <row r="52" spans="1:31">
      <c r="A52" s="76">
        <v>25</v>
      </c>
      <c r="B52" s="76" t="s">
        <v>138</v>
      </c>
      <c r="C52" s="79">
        <f t="shared" si="10"/>
        <v>87931.9</v>
      </c>
      <c r="D52" s="84">
        <v>2883.1</v>
      </c>
      <c r="E52" s="84">
        <v>426.8</v>
      </c>
      <c r="F52" s="84">
        <v>64.8</v>
      </c>
      <c r="G52" s="84">
        <v>621.6</v>
      </c>
      <c r="H52" s="84"/>
      <c r="I52" s="84">
        <v>197.8</v>
      </c>
      <c r="J52" s="84"/>
      <c r="K52" s="84">
        <v>5227.8999999999996</v>
      </c>
      <c r="L52" s="84">
        <v>150</v>
      </c>
      <c r="M52" s="84">
        <v>10608</v>
      </c>
      <c r="N52" s="84">
        <f>4029.2-93.5</f>
        <v>3935.7</v>
      </c>
      <c r="O52" s="84">
        <f>15287.8-30</f>
        <v>15257.8</v>
      </c>
      <c r="P52" s="84"/>
      <c r="Q52" s="84">
        <v>3602</v>
      </c>
      <c r="R52" s="76"/>
      <c r="S52" s="84">
        <v>4775.2</v>
      </c>
      <c r="T52" s="84">
        <v>8215.5</v>
      </c>
      <c r="U52" s="84">
        <f>22225-4705.3</f>
        <v>17519.7</v>
      </c>
      <c r="V52" s="84">
        <v>1343.6</v>
      </c>
      <c r="W52" s="84"/>
      <c r="X52" s="84">
        <v>700</v>
      </c>
      <c r="Y52" s="84"/>
      <c r="Z52" s="84"/>
      <c r="AA52" s="84">
        <f>13010-607.6</f>
        <v>12402.4</v>
      </c>
      <c r="AB52" s="84"/>
      <c r="AC52" s="84"/>
      <c r="AD52" s="71"/>
      <c r="AE52" s="71"/>
    </row>
    <row r="53" spans="1:31">
      <c r="A53" s="76">
        <v>26</v>
      </c>
      <c r="B53" s="76" t="s">
        <v>139</v>
      </c>
      <c r="C53" s="79">
        <f t="shared" si="10"/>
        <v>2945.7000000000003</v>
      </c>
      <c r="D53" s="84"/>
      <c r="E53" s="84"/>
      <c r="F53" s="84">
        <v>850</v>
      </c>
      <c r="G53" s="84">
        <v>22.4</v>
      </c>
      <c r="H53" s="84"/>
      <c r="I53" s="84"/>
      <c r="J53" s="84"/>
      <c r="K53" s="84">
        <v>360.4</v>
      </c>
      <c r="L53" s="84">
        <v>5</v>
      </c>
      <c r="M53" s="84"/>
      <c r="N53" s="84">
        <v>81.8</v>
      </c>
      <c r="O53" s="84">
        <v>454.4</v>
      </c>
      <c r="P53" s="84">
        <v>444</v>
      </c>
      <c r="Q53" s="84"/>
      <c r="R53" s="84"/>
      <c r="S53" s="84">
        <v>70.8</v>
      </c>
      <c r="T53" s="84">
        <v>610.9</v>
      </c>
      <c r="U53" s="84"/>
      <c r="V53" s="84"/>
      <c r="W53" s="84"/>
      <c r="X53" s="84">
        <f>130-84</f>
        <v>46</v>
      </c>
      <c r="Y53" s="84"/>
      <c r="Z53" s="84"/>
      <c r="AA53" s="84"/>
      <c r="AB53" s="84"/>
      <c r="AC53" s="84"/>
      <c r="AD53" s="71"/>
      <c r="AE53" s="71"/>
    </row>
    <row r="54" spans="1:31">
      <c r="A54" s="76">
        <v>27</v>
      </c>
      <c r="B54" s="76" t="s">
        <v>140</v>
      </c>
      <c r="C54" s="79">
        <f t="shared" si="10"/>
        <v>2188.1999999999998</v>
      </c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>
        <v>2188.1999999999998</v>
      </c>
      <c r="X54" s="84"/>
      <c r="Y54" s="84"/>
      <c r="Z54" s="84"/>
      <c r="AA54" s="84"/>
      <c r="AB54" s="84"/>
      <c r="AC54" s="84"/>
      <c r="AD54" s="71"/>
      <c r="AE54" s="71"/>
    </row>
    <row r="55" spans="1:31">
      <c r="A55" s="81">
        <v>709</v>
      </c>
      <c r="B55" s="81" t="s">
        <v>117</v>
      </c>
      <c r="C55" s="83">
        <f>SUM(D55:AC55)</f>
        <v>173888.60000000003</v>
      </c>
      <c r="D55" s="83">
        <f>SUM(D51:D54)</f>
        <v>2883.1</v>
      </c>
      <c r="E55" s="83">
        <f t="shared" ref="E55:AC55" si="11">SUM(E51:E54)</f>
        <v>426.8</v>
      </c>
      <c r="F55" s="83">
        <f t="shared" si="11"/>
        <v>914.8</v>
      </c>
      <c r="G55" s="83">
        <f t="shared" si="11"/>
        <v>709</v>
      </c>
      <c r="H55" s="83">
        <f t="shared" si="11"/>
        <v>0</v>
      </c>
      <c r="I55" s="83">
        <f t="shared" si="11"/>
        <v>197.8</v>
      </c>
      <c r="J55" s="83">
        <f t="shared" si="11"/>
        <v>0</v>
      </c>
      <c r="K55" s="83">
        <f t="shared" si="11"/>
        <v>12957.199999999999</v>
      </c>
      <c r="L55" s="83">
        <f t="shared" si="11"/>
        <v>155</v>
      </c>
      <c r="M55" s="83">
        <f t="shared" si="11"/>
        <v>10608</v>
      </c>
      <c r="N55" s="83">
        <f t="shared" si="11"/>
        <v>11316.4</v>
      </c>
      <c r="O55" s="83">
        <f t="shared" si="11"/>
        <v>19624.5</v>
      </c>
      <c r="P55" s="83">
        <f t="shared" si="11"/>
        <v>444</v>
      </c>
      <c r="Q55" s="83">
        <f t="shared" si="11"/>
        <v>11753</v>
      </c>
      <c r="R55" s="83">
        <f t="shared" si="11"/>
        <v>722.19999999999993</v>
      </c>
      <c r="S55" s="83">
        <f t="shared" si="11"/>
        <v>12851.8</v>
      </c>
      <c r="T55" s="83">
        <f t="shared" si="11"/>
        <v>21596.5</v>
      </c>
      <c r="U55" s="83">
        <f t="shared" si="11"/>
        <v>34019.800000000003</v>
      </c>
      <c r="V55" s="83">
        <f t="shared" si="11"/>
        <v>1343.6</v>
      </c>
      <c r="W55" s="83">
        <f t="shared" si="11"/>
        <v>2188.1999999999998</v>
      </c>
      <c r="X55" s="83">
        <f t="shared" si="11"/>
        <v>5246</v>
      </c>
      <c r="Y55" s="83">
        <f t="shared" si="11"/>
        <v>0</v>
      </c>
      <c r="Z55" s="83">
        <f t="shared" si="11"/>
        <v>0</v>
      </c>
      <c r="AA55" s="83">
        <f t="shared" si="11"/>
        <v>23930.9</v>
      </c>
      <c r="AB55" s="83">
        <f t="shared" si="11"/>
        <v>0</v>
      </c>
      <c r="AC55" s="83">
        <f t="shared" si="11"/>
        <v>0</v>
      </c>
      <c r="AD55" s="71"/>
      <c r="AE55" s="71"/>
    </row>
    <row r="56" spans="1:31">
      <c r="A56" s="81"/>
      <c r="B56" s="81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71"/>
      <c r="AE56" s="71"/>
    </row>
    <row r="57" spans="1:31" s="93" customFormat="1">
      <c r="A57" s="96">
        <v>28</v>
      </c>
      <c r="B57" s="96" t="s">
        <v>141</v>
      </c>
      <c r="C57" s="79">
        <f>SUM(D57:AC57)</f>
        <v>1152</v>
      </c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>
        <v>1152</v>
      </c>
      <c r="Y57" s="84"/>
      <c r="Z57" s="84"/>
      <c r="AA57" s="84"/>
      <c r="AB57" s="84"/>
      <c r="AC57" s="84"/>
      <c r="AD57" s="71"/>
      <c r="AE57" s="71"/>
    </row>
    <row r="58" spans="1:31">
      <c r="A58" s="76">
        <v>29</v>
      </c>
      <c r="B58" s="76" t="s">
        <v>142</v>
      </c>
      <c r="C58" s="79">
        <f>SUM(D58:AC58)</f>
        <v>11805</v>
      </c>
      <c r="D58" s="84">
        <f>3667.8+61.8</f>
        <v>3729.6000000000004</v>
      </c>
      <c r="E58" s="84">
        <f>557.2+240.5</f>
        <v>797.7</v>
      </c>
      <c r="F58" s="84"/>
      <c r="G58" s="84">
        <v>52.8</v>
      </c>
      <c r="H58" s="84">
        <v>40</v>
      </c>
      <c r="I58" s="84">
        <v>118.8</v>
      </c>
      <c r="J58" s="84"/>
      <c r="K58" s="84">
        <v>226.7</v>
      </c>
      <c r="L58" s="84"/>
      <c r="M58" s="84">
        <v>3075.5</v>
      </c>
      <c r="N58" s="84"/>
      <c r="O58" s="84">
        <v>101.5</v>
      </c>
      <c r="P58" s="84"/>
      <c r="Q58" s="84"/>
      <c r="R58" s="84"/>
      <c r="S58" s="84">
        <v>60</v>
      </c>
      <c r="T58" s="84">
        <v>115</v>
      </c>
      <c r="U58" s="84"/>
      <c r="V58" s="84">
        <v>39.6</v>
      </c>
      <c r="W58" s="84"/>
      <c r="X58" s="84">
        <f>3258+12+10-22+66.3</f>
        <v>3324.3</v>
      </c>
      <c r="Y58" s="84"/>
      <c r="Z58" s="84"/>
      <c r="AA58" s="84">
        <v>123.5</v>
      </c>
      <c r="AB58" s="84"/>
      <c r="AC58" s="84"/>
      <c r="AD58" s="71"/>
      <c r="AE58" s="71"/>
    </row>
    <row r="59" spans="1:31">
      <c r="A59" s="76">
        <v>30</v>
      </c>
      <c r="B59" s="76" t="s">
        <v>143</v>
      </c>
      <c r="C59" s="79">
        <f>SUM(D59:AC59)</f>
        <v>1095.5</v>
      </c>
      <c r="D59" s="84">
        <v>866.4</v>
      </c>
      <c r="E59" s="84">
        <v>149.4</v>
      </c>
      <c r="F59" s="84">
        <v>20</v>
      </c>
      <c r="G59" s="84">
        <v>15.8</v>
      </c>
      <c r="H59" s="84"/>
      <c r="I59" s="84"/>
      <c r="J59" s="84"/>
      <c r="K59" s="84">
        <v>9.5</v>
      </c>
      <c r="L59" s="84"/>
      <c r="M59" s="84"/>
      <c r="N59" s="84"/>
      <c r="O59" s="84">
        <v>4.4000000000000004</v>
      </c>
      <c r="P59" s="84"/>
      <c r="Q59" s="84"/>
      <c r="R59" s="84"/>
      <c r="S59" s="84"/>
      <c r="T59" s="84">
        <v>30</v>
      </c>
      <c r="U59" s="84"/>
      <c r="V59" s="84"/>
      <c r="W59" s="84"/>
      <c r="X59" s="84"/>
      <c r="Y59" s="84"/>
      <c r="Z59" s="84"/>
      <c r="AA59" s="84"/>
      <c r="AB59" s="84"/>
      <c r="AC59" s="84"/>
      <c r="AD59" s="71"/>
      <c r="AE59" s="71"/>
    </row>
    <row r="60" spans="1:31">
      <c r="A60" s="81">
        <v>710</v>
      </c>
      <c r="B60" s="81" t="s">
        <v>117</v>
      </c>
      <c r="C60" s="83">
        <f>SUM(D60:AC60)</f>
        <v>14052.5</v>
      </c>
      <c r="D60" s="83">
        <f>SUM(D57:D59)</f>
        <v>4596</v>
      </c>
      <c r="E60" s="83">
        <f t="shared" ref="E60:AC60" si="12">SUM(E57:E59)</f>
        <v>947.1</v>
      </c>
      <c r="F60" s="83">
        <f t="shared" si="12"/>
        <v>20</v>
      </c>
      <c r="G60" s="83">
        <f t="shared" si="12"/>
        <v>68.599999999999994</v>
      </c>
      <c r="H60" s="83">
        <f t="shared" si="12"/>
        <v>40</v>
      </c>
      <c r="I60" s="83">
        <f t="shared" si="12"/>
        <v>118.8</v>
      </c>
      <c r="J60" s="83">
        <f t="shared" si="12"/>
        <v>0</v>
      </c>
      <c r="K60" s="83">
        <f t="shared" si="12"/>
        <v>236.2</v>
      </c>
      <c r="L60" s="83">
        <f t="shared" si="12"/>
        <v>0</v>
      </c>
      <c r="M60" s="83">
        <f t="shared" si="12"/>
        <v>3075.5</v>
      </c>
      <c r="N60" s="83">
        <f t="shared" si="12"/>
        <v>0</v>
      </c>
      <c r="O60" s="83">
        <f t="shared" si="12"/>
        <v>105.9</v>
      </c>
      <c r="P60" s="83">
        <f t="shared" si="12"/>
        <v>0</v>
      </c>
      <c r="Q60" s="83">
        <f t="shared" si="12"/>
        <v>0</v>
      </c>
      <c r="R60" s="83">
        <f t="shared" si="12"/>
        <v>0</v>
      </c>
      <c r="S60" s="83">
        <f t="shared" si="12"/>
        <v>60</v>
      </c>
      <c r="T60" s="83">
        <f t="shared" si="12"/>
        <v>145</v>
      </c>
      <c r="U60" s="83">
        <f t="shared" si="12"/>
        <v>0</v>
      </c>
      <c r="V60" s="83">
        <f t="shared" si="12"/>
        <v>39.6</v>
      </c>
      <c r="W60" s="83">
        <f t="shared" si="12"/>
        <v>0</v>
      </c>
      <c r="X60" s="83">
        <f t="shared" si="12"/>
        <v>4476.3</v>
      </c>
      <c r="Y60" s="83">
        <f t="shared" si="12"/>
        <v>0</v>
      </c>
      <c r="Z60" s="83">
        <f t="shared" si="12"/>
        <v>0</v>
      </c>
      <c r="AA60" s="83">
        <f t="shared" si="12"/>
        <v>123.5</v>
      </c>
      <c r="AB60" s="83">
        <f t="shared" si="12"/>
        <v>0</v>
      </c>
      <c r="AC60" s="83">
        <f t="shared" si="12"/>
        <v>0</v>
      </c>
      <c r="AD60" s="71"/>
      <c r="AE60" s="71"/>
    </row>
    <row r="61" spans="1:31">
      <c r="C61" s="1"/>
      <c r="I61" s="71"/>
      <c r="K61" s="71"/>
      <c r="M61" s="71"/>
      <c r="N61" s="71"/>
      <c r="X61" s="71"/>
    </row>
    <row r="63" spans="1:31">
      <c r="B63" s="34"/>
    </row>
    <row r="64" spans="1:31">
      <c r="C64" s="34" t="s">
        <v>74</v>
      </c>
      <c r="D64" s="4"/>
      <c r="E64" s="30"/>
      <c r="F64" s="30"/>
      <c r="G64" s="30"/>
      <c r="H64" s="35"/>
      <c r="K64" s="35"/>
      <c r="P64" s="35" t="s">
        <v>75</v>
      </c>
      <c r="Q64" s="35"/>
    </row>
  </sheetData>
  <mergeCells count="5">
    <mergeCell ref="AA1:AC1"/>
    <mergeCell ref="AA2:AC2"/>
    <mergeCell ref="B6:AC6"/>
    <mergeCell ref="B7:AC7"/>
    <mergeCell ref="A8:AC8"/>
  </mergeCells>
  <pageMargins left="0.19685039370078741" right="0" top="0.39370078740157483" bottom="0.19685039370078741" header="0.31496062992125984" footer="0.31496062992125984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41"/>
  <sheetViews>
    <sheetView zoomScale="85" zoomScaleNormal="85" workbookViewId="0">
      <selection activeCell="M9" sqref="M9"/>
    </sheetView>
  </sheetViews>
  <sheetFormatPr defaultColWidth="6.7109375" defaultRowHeight="15.75"/>
  <cols>
    <col min="1" max="1" width="4.7109375" style="3" bestFit="1" customWidth="1"/>
    <col min="2" max="2" width="29.28515625" style="3" customWidth="1"/>
    <col min="3" max="3" width="11.140625" style="3" customWidth="1"/>
    <col min="4" max="4" width="9.28515625" style="3" customWidth="1"/>
    <col min="5" max="5" width="10" style="3" customWidth="1"/>
    <col min="6" max="6" width="7.7109375" style="3" customWidth="1"/>
    <col min="7" max="7" width="9" style="3" customWidth="1"/>
    <col min="8" max="8" width="7.7109375" style="3" hidden="1" customWidth="1"/>
    <col min="9" max="9" width="9.28515625" style="3" bestFit="1" customWidth="1"/>
    <col min="10" max="10" width="8" style="3" hidden="1" customWidth="1"/>
    <col min="11" max="11" width="10.42578125" style="3" customWidth="1"/>
    <col min="12" max="12" width="8.7109375" style="3" customWidth="1"/>
    <col min="13" max="13" width="10.42578125" style="3" bestFit="1" customWidth="1"/>
    <col min="14" max="14" width="8.85546875" style="3" customWidth="1"/>
    <col min="15" max="15" width="8.28515625" style="3" customWidth="1"/>
    <col min="16" max="17" width="8.42578125" style="3" bestFit="1" customWidth="1"/>
    <col min="18" max="19" width="10.5703125" style="3" bestFit="1" customWidth="1"/>
    <col min="20" max="20" width="9.42578125" style="3" hidden="1" customWidth="1"/>
    <col min="21" max="22" width="7.28515625" style="3" hidden="1" customWidth="1"/>
    <col min="23" max="23" width="8.7109375" style="3" customWidth="1"/>
    <col min="24" max="24" width="9.5703125" style="3" customWidth="1"/>
    <col min="25" max="25" width="8.7109375" style="3" customWidth="1"/>
    <col min="26" max="26" width="8" style="3" customWidth="1"/>
    <col min="27" max="27" width="9.85546875" style="3" customWidth="1"/>
    <col min="28" max="16384" width="6.7109375" style="3"/>
  </cols>
  <sheetData>
    <row r="1" spans="1:28" ht="44.45" customHeight="1">
      <c r="X1" s="1"/>
      <c r="Y1" s="149" t="s">
        <v>1</v>
      </c>
      <c r="Z1" s="149"/>
      <c r="AA1" s="149"/>
    </row>
    <row r="2" spans="1:28">
      <c r="X2" s="1"/>
      <c r="Y2" s="133" t="s">
        <v>2</v>
      </c>
      <c r="Z2" s="133"/>
      <c r="AA2" s="133"/>
    </row>
    <row r="3" spans="1:28">
      <c r="X3" s="1"/>
      <c r="Y3" s="5" t="s">
        <v>3</v>
      </c>
      <c r="Z3" s="5"/>
      <c r="AA3" s="6"/>
    </row>
    <row r="4" spans="1:28">
      <c r="Y4" s="7" t="s">
        <v>144</v>
      </c>
      <c r="Z4" s="7"/>
      <c r="AA4" s="6"/>
    </row>
    <row r="5" spans="1:28">
      <c r="Y5" s="8"/>
      <c r="Z5" s="6"/>
      <c r="AA5" s="8"/>
    </row>
    <row r="6" spans="1:28">
      <c r="B6" s="152" t="s">
        <v>145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</row>
    <row r="7" spans="1:28">
      <c r="B7" s="152" t="s">
        <v>197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</row>
    <row r="8" spans="1:28" ht="16.5" thickBot="1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</row>
    <row r="9" spans="1:28" s="70" customFormat="1" ht="141.75">
      <c r="A9" s="72" t="s">
        <v>78</v>
      </c>
      <c r="B9" s="72" t="s">
        <v>79</v>
      </c>
      <c r="C9" s="73" t="s">
        <v>80</v>
      </c>
      <c r="D9" s="74" t="s">
        <v>81</v>
      </c>
      <c r="E9" s="74" t="s">
        <v>82</v>
      </c>
      <c r="F9" s="74" t="s">
        <v>83</v>
      </c>
      <c r="G9" s="74" t="s">
        <v>84</v>
      </c>
      <c r="H9" s="74" t="s">
        <v>85</v>
      </c>
      <c r="I9" s="74" t="s">
        <v>86</v>
      </c>
      <c r="J9" s="74" t="s">
        <v>87</v>
      </c>
      <c r="K9" s="74" t="s">
        <v>88</v>
      </c>
      <c r="L9" s="74" t="s">
        <v>89</v>
      </c>
      <c r="M9" s="74" t="s">
        <v>90</v>
      </c>
      <c r="N9" s="74" t="s">
        <v>91</v>
      </c>
      <c r="O9" s="74" t="s">
        <v>92</v>
      </c>
      <c r="P9" s="74" t="s">
        <v>93</v>
      </c>
      <c r="Q9" s="74" t="s">
        <v>94</v>
      </c>
      <c r="R9" s="74" t="s">
        <v>96</v>
      </c>
      <c r="S9" s="74" t="s">
        <v>97</v>
      </c>
      <c r="T9" s="74" t="s">
        <v>98</v>
      </c>
      <c r="U9" s="74" t="s">
        <v>99</v>
      </c>
      <c r="V9" s="74" t="s">
        <v>100</v>
      </c>
      <c r="W9" s="74" t="s">
        <v>102</v>
      </c>
      <c r="X9" s="75" t="s">
        <v>103</v>
      </c>
      <c r="Y9" s="72" t="s">
        <v>104</v>
      </c>
      <c r="Z9" s="72" t="s">
        <v>146</v>
      </c>
      <c r="AA9" s="74" t="s">
        <v>147</v>
      </c>
    </row>
    <row r="10" spans="1:28" s="70" customFormat="1">
      <c r="A10" s="76"/>
      <c r="B10" s="76"/>
      <c r="C10" s="76"/>
      <c r="D10" s="78">
        <v>2111</v>
      </c>
      <c r="E10" s="78">
        <v>2121</v>
      </c>
      <c r="F10" s="78">
        <v>22111</v>
      </c>
      <c r="G10" s="78">
        <v>22122</v>
      </c>
      <c r="H10" s="78">
        <v>2213</v>
      </c>
      <c r="I10" s="78">
        <v>2214</v>
      </c>
      <c r="J10" s="78">
        <v>22152</v>
      </c>
      <c r="K10" s="78">
        <v>22154</v>
      </c>
      <c r="L10" s="78">
        <v>2217</v>
      </c>
      <c r="M10" s="78">
        <v>2218</v>
      </c>
      <c r="N10" s="78">
        <v>222111</v>
      </c>
      <c r="O10" s="78">
        <v>2222</v>
      </c>
      <c r="P10" s="78">
        <v>2223</v>
      </c>
      <c r="Q10" s="78">
        <v>22241</v>
      </c>
      <c r="R10" s="78">
        <v>22311100</v>
      </c>
      <c r="S10" s="78">
        <v>22311200</v>
      </c>
      <c r="T10" s="78">
        <v>22311300</v>
      </c>
      <c r="U10" s="78">
        <v>22311400</v>
      </c>
      <c r="V10" s="78">
        <v>2511</v>
      </c>
      <c r="W10" s="78">
        <v>282</v>
      </c>
      <c r="X10" s="78">
        <v>3111</v>
      </c>
      <c r="Y10" s="78">
        <v>3112</v>
      </c>
      <c r="Z10" s="78">
        <v>3113</v>
      </c>
      <c r="AA10" s="78">
        <v>3122</v>
      </c>
    </row>
    <row r="11" spans="1:28">
      <c r="A11" s="23"/>
      <c r="B11" s="23"/>
      <c r="C11" s="100">
        <f>'[3]Т 1'!J66-Т2а!C12</f>
        <v>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8" ht="31.5">
      <c r="A12" s="23"/>
      <c r="B12" s="82" t="s">
        <v>148</v>
      </c>
      <c r="C12" s="101">
        <f>SUM(D12:AA12)</f>
        <v>262344.59999999998</v>
      </c>
      <c r="D12" s="101">
        <f>D16+D19+D25+D30+D34</f>
        <v>52576.4</v>
      </c>
      <c r="E12" s="101">
        <f t="shared" ref="E12:AA12" si="0">E16+E19+E25+E30+E34</f>
        <v>8038.6</v>
      </c>
      <c r="F12" s="101">
        <f t="shared" si="0"/>
        <v>66</v>
      </c>
      <c r="G12" s="101">
        <f t="shared" si="0"/>
        <v>239.20000000000002</v>
      </c>
      <c r="H12" s="101">
        <f t="shared" si="0"/>
        <v>0</v>
      </c>
      <c r="I12" s="101">
        <f t="shared" si="0"/>
        <v>27046.7</v>
      </c>
      <c r="J12" s="101">
        <f t="shared" si="0"/>
        <v>0</v>
      </c>
      <c r="K12" s="101">
        <f t="shared" si="0"/>
        <v>4258.7</v>
      </c>
      <c r="L12" s="101">
        <f t="shared" si="0"/>
        <v>54.6</v>
      </c>
      <c r="M12" s="101">
        <f t="shared" si="0"/>
        <v>123692</v>
      </c>
      <c r="N12" s="101">
        <f t="shared" si="0"/>
        <v>3966.1</v>
      </c>
      <c r="O12" s="101">
        <f t="shared" si="0"/>
        <v>5688.6</v>
      </c>
      <c r="P12" s="101">
        <f t="shared" si="0"/>
        <v>295.39999999999998</v>
      </c>
      <c r="Q12" s="101">
        <f t="shared" si="0"/>
        <v>744</v>
      </c>
      <c r="R12" s="101">
        <f t="shared" si="0"/>
        <v>1416.7</v>
      </c>
      <c r="S12" s="101">
        <f t="shared" si="0"/>
        <v>441.8</v>
      </c>
      <c r="T12" s="101">
        <f t="shared" si="0"/>
        <v>0</v>
      </c>
      <c r="U12" s="101">
        <f t="shared" si="0"/>
        <v>0</v>
      </c>
      <c r="V12" s="101">
        <f t="shared" si="0"/>
        <v>0</v>
      </c>
      <c r="W12" s="101">
        <f t="shared" si="0"/>
        <v>1652.3</v>
      </c>
      <c r="X12" s="101">
        <f t="shared" si="0"/>
        <v>450</v>
      </c>
      <c r="Y12" s="101">
        <f t="shared" si="0"/>
        <v>6907.5</v>
      </c>
      <c r="Z12" s="101">
        <f t="shared" si="0"/>
        <v>0</v>
      </c>
      <c r="AA12" s="101">
        <f t="shared" si="0"/>
        <v>24810</v>
      </c>
    </row>
    <row r="13" spans="1:28">
      <c r="A13" s="19"/>
      <c r="B13" s="1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28">
      <c r="A14" s="19">
        <v>1</v>
      </c>
      <c r="B14" s="94" t="s">
        <v>149</v>
      </c>
      <c r="C14" s="39">
        <f>SUM(D14:AA14)</f>
        <v>100</v>
      </c>
      <c r="D14" s="39"/>
      <c r="E14" s="39"/>
      <c r="F14" s="39"/>
      <c r="G14" s="39"/>
      <c r="H14" s="39"/>
      <c r="I14" s="39"/>
      <c r="J14" s="39"/>
      <c r="K14" s="39">
        <v>100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102"/>
    </row>
    <row r="15" spans="1:28">
      <c r="A15" s="19">
        <v>2</v>
      </c>
      <c r="B15" s="94" t="s">
        <v>150</v>
      </c>
      <c r="C15" s="39">
        <f>SUM(D15:AA15)</f>
        <v>0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102"/>
    </row>
    <row r="16" spans="1:28">
      <c r="A16" s="23">
        <v>701</v>
      </c>
      <c r="B16" s="23" t="s">
        <v>151</v>
      </c>
      <c r="C16" s="101">
        <f>SUM(C14:C15)</f>
        <v>100</v>
      </c>
      <c r="D16" s="101">
        <f>SUM(D14:D15)</f>
        <v>0</v>
      </c>
      <c r="E16" s="101">
        <f t="shared" ref="E16:AA16" si="1">SUM(E14:E15)</f>
        <v>0</v>
      </c>
      <c r="F16" s="101">
        <f t="shared" si="1"/>
        <v>0</v>
      </c>
      <c r="G16" s="101">
        <f t="shared" si="1"/>
        <v>0</v>
      </c>
      <c r="H16" s="101">
        <f t="shared" si="1"/>
        <v>0</v>
      </c>
      <c r="I16" s="101">
        <f t="shared" si="1"/>
        <v>0</v>
      </c>
      <c r="J16" s="101">
        <f t="shared" si="1"/>
        <v>0</v>
      </c>
      <c r="K16" s="101">
        <f t="shared" si="1"/>
        <v>100</v>
      </c>
      <c r="L16" s="101">
        <f t="shared" si="1"/>
        <v>0</v>
      </c>
      <c r="M16" s="101">
        <f t="shared" si="1"/>
        <v>0</v>
      </c>
      <c r="N16" s="101">
        <f t="shared" si="1"/>
        <v>0</v>
      </c>
      <c r="O16" s="101">
        <f t="shared" si="1"/>
        <v>0</v>
      </c>
      <c r="P16" s="101">
        <f t="shared" si="1"/>
        <v>0</v>
      </c>
      <c r="Q16" s="101">
        <f t="shared" si="1"/>
        <v>0</v>
      </c>
      <c r="R16" s="101">
        <f t="shared" si="1"/>
        <v>0</v>
      </c>
      <c r="S16" s="101">
        <f t="shared" si="1"/>
        <v>0</v>
      </c>
      <c r="T16" s="101">
        <f t="shared" si="1"/>
        <v>0</v>
      </c>
      <c r="U16" s="101">
        <f t="shared" si="1"/>
        <v>0</v>
      </c>
      <c r="V16" s="101">
        <f t="shared" si="1"/>
        <v>0</v>
      </c>
      <c r="W16" s="101">
        <f t="shared" si="1"/>
        <v>0</v>
      </c>
      <c r="X16" s="101">
        <f t="shared" si="1"/>
        <v>0</v>
      </c>
      <c r="Y16" s="101">
        <f t="shared" si="1"/>
        <v>0</v>
      </c>
      <c r="Z16" s="101">
        <f t="shared" si="1"/>
        <v>0</v>
      </c>
      <c r="AA16" s="101">
        <f t="shared" si="1"/>
        <v>0</v>
      </c>
    </row>
    <row r="17" spans="1:29">
      <c r="A17" s="19"/>
      <c r="B17" s="1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9" ht="31.5">
      <c r="A18" s="19">
        <v>3</v>
      </c>
      <c r="B18" s="94" t="s">
        <v>120</v>
      </c>
      <c r="C18" s="39">
        <f>SUM(D18:AA18)</f>
        <v>30100</v>
      </c>
      <c r="D18" s="39">
        <v>1044.4000000000001</v>
      </c>
      <c r="E18" s="39">
        <v>180.2</v>
      </c>
      <c r="F18" s="39"/>
      <c r="G18" s="39"/>
      <c r="H18" s="39"/>
      <c r="I18" s="39">
        <v>2621.4</v>
      </c>
      <c r="J18" s="39"/>
      <c r="K18" s="39">
        <v>200</v>
      </c>
      <c r="L18" s="39"/>
      <c r="M18" s="39"/>
      <c r="N18" s="39"/>
      <c r="O18" s="39">
        <v>500</v>
      </c>
      <c r="P18" s="39"/>
      <c r="Q18" s="39">
        <v>744</v>
      </c>
      <c r="R18" s="39"/>
      <c r="S18" s="39"/>
      <c r="T18" s="39"/>
      <c r="U18" s="39"/>
      <c r="V18" s="39"/>
      <c r="W18" s="39"/>
      <c r="X18" s="39"/>
      <c r="Y18" s="39"/>
      <c r="Z18" s="39"/>
      <c r="AA18" s="39">
        <f>6710+18100</f>
        <v>24810</v>
      </c>
    </row>
    <row r="19" spans="1:29">
      <c r="A19" s="23">
        <v>704</v>
      </c>
      <c r="B19" s="23" t="s">
        <v>151</v>
      </c>
      <c r="C19" s="101">
        <f>SUM(C18:C18)</f>
        <v>30100</v>
      </c>
      <c r="D19" s="101">
        <f t="shared" ref="D19:U19" si="2">SUM(D18:D18)</f>
        <v>1044.4000000000001</v>
      </c>
      <c r="E19" s="101">
        <f t="shared" si="2"/>
        <v>180.2</v>
      </c>
      <c r="F19" s="101">
        <f t="shared" si="2"/>
        <v>0</v>
      </c>
      <c r="G19" s="101">
        <f t="shared" si="2"/>
        <v>0</v>
      </c>
      <c r="H19" s="101">
        <f t="shared" si="2"/>
        <v>0</v>
      </c>
      <c r="I19" s="101">
        <f t="shared" si="2"/>
        <v>2621.4</v>
      </c>
      <c r="J19" s="101">
        <f t="shared" si="2"/>
        <v>0</v>
      </c>
      <c r="K19" s="101">
        <f t="shared" si="2"/>
        <v>200</v>
      </c>
      <c r="L19" s="101">
        <f t="shared" si="2"/>
        <v>0</v>
      </c>
      <c r="M19" s="101">
        <f t="shared" si="2"/>
        <v>0</v>
      </c>
      <c r="N19" s="101">
        <f t="shared" si="2"/>
        <v>0</v>
      </c>
      <c r="O19" s="101">
        <f t="shared" si="2"/>
        <v>500</v>
      </c>
      <c r="P19" s="101">
        <f>SUM(P18:P18)</f>
        <v>0</v>
      </c>
      <c r="Q19" s="101">
        <f t="shared" si="2"/>
        <v>744</v>
      </c>
      <c r="R19" s="101">
        <f t="shared" si="2"/>
        <v>0</v>
      </c>
      <c r="S19" s="101">
        <f t="shared" si="2"/>
        <v>0</v>
      </c>
      <c r="T19" s="101">
        <f t="shared" si="2"/>
        <v>0</v>
      </c>
      <c r="U19" s="101">
        <f t="shared" si="2"/>
        <v>0</v>
      </c>
      <c r="V19" s="101"/>
      <c r="W19" s="101">
        <f>SUM(W18:W18)</f>
        <v>0</v>
      </c>
      <c r="X19" s="101">
        <f>SUM(X18:X18)</f>
        <v>0</v>
      </c>
      <c r="Y19" s="101">
        <f>SUM(Y18:Y18)</f>
        <v>0</v>
      </c>
      <c r="Z19" s="101">
        <f>SUM(Z18:Z18)</f>
        <v>0</v>
      </c>
      <c r="AA19" s="101">
        <f>SUM(AA18:AA18)</f>
        <v>24810</v>
      </c>
    </row>
    <row r="20" spans="1:29">
      <c r="A20" s="23"/>
      <c r="B20" s="23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39"/>
      <c r="Z20" s="39"/>
      <c r="AA20" s="39"/>
    </row>
    <row r="21" spans="1:29">
      <c r="A21" s="19">
        <v>4</v>
      </c>
      <c r="B21" s="19" t="s">
        <v>126</v>
      </c>
      <c r="C21" s="39">
        <f>SUM(D21:AA21)</f>
        <v>90</v>
      </c>
      <c r="D21" s="39"/>
      <c r="E21" s="39"/>
      <c r="F21" s="39"/>
      <c r="G21" s="39"/>
      <c r="H21" s="39"/>
      <c r="I21" s="39">
        <v>30</v>
      </c>
      <c r="J21" s="39"/>
      <c r="K21" s="39"/>
      <c r="L21" s="39"/>
      <c r="M21" s="39"/>
      <c r="N21" s="39"/>
      <c r="O21" s="39">
        <v>60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1:29">
      <c r="A22" s="19">
        <v>5</v>
      </c>
      <c r="B22" s="96" t="s">
        <v>127</v>
      </c>
      <c r="C22" s="39">
        <f>SUM(D22:AA22)</f>
        <v>70</v>
      </c>
      <c r="D22" s="103"/>
      <c r="E22" s="103"/>
      <c r="F22" s="103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>
        <v>70</v>
      </c>
      <c r="Z22" s="39"/>
      <c r="AA22" s="39"/>
    </row>
    <row r="23" spans="1:29">
      <c r="A23" s="19">
        <v>6</v>
      </c>
      <c r="B23" s="96" t="s">
        <v>40</v>
      </c>
      <c r="C23" s="39">
        <f>SUM(D23:AA23)</f>
        <v>15288.4</v>
      </c>
      <c r="D23" s="103">
        <v>8340.2999999999993</v>
      </c>
      <c r="E23" s="103">
        <v>1254.3</v>
      </c>
      <c r="F23" s="103"/>
      <c r="G23" s="39">
        <v>92.7</v>
      </c>
      <c r="H23" s="39"/>
      <c r="I23" s="39">
        <v>211.2</v>
      </c>
      <c r="J23" s="39"/>
      <c r="K23" s="39">
        <f>2176.4+259</f>
        <v>2435.4</v>
      </c>
      <c r="L23" s="39"/>
      <c r="M23" s="39"/>
      <c r="N23" s="39">
        <v>189.5</v>
      </c>
      <c r="O23" s="39">
        <v>370.1</v>
      </c>
      <c r="P23" s="39">
        <v>123.4</v>
      </c>
      <c r="Q23" s="39"/>
      <c r="R23" s="39">
        <v>39.6</v>
      </c>
      <c r="S23" s="39">
        <v>66</v>
      </c>
      <c r="T23" s="39"/>
      <c r="U23" s="39"/>
      <c r="V23" s="39"/>
      <c r="W23" s="39">
        <f>1911.3-259</f>
        <v>1652.3</v>
      </c>
      <c r="X23" s="39"/>
      <c r="Y23" s="39">
        <v>513.6</v>
      </c>
      <c r="Z23" s="39"/>
      <c r="AA23" s="39"/>
    </row>
    <row r="24" spans="1:29">
      <c r="A24" s="19">
        <v>7</v>
      </c>
      <c r="B24" s="19" t="s">
        <v>128</v>
      </c>
      <c r="C24" s="39">
        <f>SUM(D24:AA24)</f>
        <v>80146.100000000006</v>
      </c>
      <c r="D24" s="103">
        <v>43191.7</v>
      </c>
      <c r="E24" s="103">
        <v>6604.1</v>
      </c>
      <c r="F24" s="103">
        <v>66</v>
      </c>
      <c r="G24" s="39">
        <v>108.1</v>
      </c>
      <c r="H24" s="39"/>
      <c r="I24" s="39">
        <v>24184.1</v>
      </c>
      <c r="J24" s="39"/>
      <c r="K24" s="39">
        <v>1154.3</v>
      </c>
      <c r="L24" s="39">
        <v>44.6</v>
      </c>
      <c r="M24" s="39"/>
      <c r="N24" s="39"/>
      <c r="O24" s="39">
        <v>958.4</v>
      </c>
      <c r="P24" s="39">
        <v>172</v>
      </c>
      <c r="Q24" s="39"/>
      <c r="R24" s="39">
        <v>339.9</v>
      </c>
      <c r="S24" s="39">
        <v>325.8</v>
      </c>
      <c r="T24" s="39"/>
      <c r="U24" s="39"/>
      <c r="V24" s="39"/>
      <c r="W24" s="39"/>
      <c r="X24" s="39">
        <v>450</v>
      </c>
      <c r="Y24" s="39">
        <f>7129.1-4582</f>
        <v>2547.1000000000004</v>
      </c>
      <c r="Z24" s="39"/>
      <c r="AA24" s="39"/>
      <c r="AC24" s="102"/>
    </row>
    <row r="25" spans="1:29">
      <c r="A25" s="23">
        <v>706</v>
      </c>
      <c r="B25" s="23" t="s">
        <v>152</v>
      </c>
      <c r="C25" s="101">
        <f>SUM(D25:Z25)</f>
        <v>95594.5</v>
      </c>
      <c r="D25" s="101">
        <f t="shared" ref="D25:U25" si="3">SUM(D21:D24)</f>
        <v>51532</v>
      </c>
      <c r="E25" s="101">
        <f t="shared" si="3"/>
        <v>7858.4000000000005</v>
      </c>
      <c r="F25" s="101">
        <f t="shared" si="3"/>
        <v>66</v>
      </c>
      <c r="G25" s="101">
        <f t="shared" si="3"/>
        <v>200.8</v>
      </c>
      <c r="H25" s="101">
        <f t="shared" si="3"/>
        <v>0</v>
      </c>
      <c r="I25" s="101">
        <f t="shared" si="3"/>
        <v>24425.3</v>
      </c>
      <c r="J25" s="101">
        <f t="shared" si="3"/>
        <v>0</v>
      </c>
      <c r="K25" s="101">
        <f t="shared" si="3"/>
        <v>3589.7</v>
      </c>
      <c r="L25" s="101">
        <f t="shared" si="3"/>
        <v>44.6</v>
      </c>
      <c r="M25" s="101">
        <f t="shared" si="3"/>
        <v>0</v>
      </c>
      <c r="N25" s="101">
        <f t="shared" si="3"/>
        <v>189.5</v>
      </c>
      <c r="O25" s="101">
        <f t="shared" si="3"/>
        <v>1388.5</v>
      </c>
      <c r="P25" s="101">
        <f t="shared" si="3"/>
        <v>295.39999999999998</v>
      </c>
      <c r="Q25" s="101">
        <f t="shared" si="3"/>
        <v>0</v>
      </c>
      <c r="R25" s="101">
        <f t="shared" si="3"/>
        <v>379.5</v>
      </c>
      <c r="S25" s="101">
        <f t="shared" si="3"/>
        <v>391.8</v>
      </c>
      <c r="T25" s="101">
        <f t="shared" si="3"/>
        <v>0</v>
      </c>
      <c r="U25" s="101">
        <f t="shared" si="3"/>
        <v>0</v>
      </c>
      <c r="V25" s="101"/>
      <c r="W25" s="101">
        <f>SUM(W21:W24)</f>
        <v>1652.3</v>
      </c>
      <c r="X25" s="101">
        <f>SUM(X21:X24)</f>
        <v>450</v>
      </c>
      <c r="Y25" s="101">
        <f>SUM(Y21:Y24)</f>
        <v>3130.7000000000003</v>
      </c>
      <c r="Z25" s="101">
        <f>SUM(Z21:Z24)</f>
        <v>0</v>
      </c>
      <c r="AA25" s="39"/>
    </row>
    <row r="26" spans="1:29">
      <c r="A26" s="19">
        <v>8</v>
      </c>
      <c r="B26" s="19" t="s">
        <v>153</v>
      </c>
      <c r="C26" s="39">
        <f t="shared" ref="C26:C29" si="4">SUM(D26:AA26)</f>
        <v>100</v>
      </c>
      <c r="D26" s="39"/>
      <c r="E26" s="39"/>
      <c r="F26" s="39"/>
      <c r="G26" s="39"/>
      <c r="H26" s="39"/>
      <c r="I26" s="39"/>
      <c r="J26" s="39"/>
      <c r="K26" s="39">
        <v>100</v>
      </c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1:29">
      <c r="A27" s="19">
        <v>9</v>
      </c>
      <c r="B27" s="19" t="s">
        <v>131</v>
      </c>
      <c r="C27" s="39">
        <f t="shared" si="4"/>
        <v>100</v>
      </c>
      <c r="D27" s="39"/>
      <c r="E27" s="39"/>
      <c r="F27" s="39"/>
      <c r="G27" s="39"/>
      <c r="H27" s="39"/>
      <c r="I27" s="39"/>
      <c r="J27" s="39"/>
      <c r="K27" s="39">
        <v>100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spans="1:29">
      <c r="A28" s="19">
        <v>10</v>
      </c>
      <c r="B28" s="19" t="s">
        <v>154</v>
      </c>
      <c r="C28" s="39">
        <f t="shared" si="4"/>
        <v>347.2</v>
      </c>
      <c r="D28" s="103"/>
      <c r="E28" s="103"/>
      <c r="F28" s="103"/>
      <c r="G28" s="39"/>
      <c r="H28" s="39"/>
      <c r="I28" s="39"/>
      <c r="J28" s="39"/>
      <c r="K28" s="39"/>
      <c r="L28" s="104"/>
      <c r="M28" s="104"/>
      <c r="N28" s="105"/>
      <c r="O28" s="39"/>
      <c r="P28" s="39"/>
      <c r="Q28" s="39"/>
      <c r="R28" s="39">
        <v>347.2</v>
      </c>
      <c r="S28" s="39"/>
      <c r="T28" s="39"/>
      <c r="U28" s="39"/>
      <c r="V28" s="39"/>
      <c r="W28" s="39"/>
      <c r="X28" s="39"/>
      <c r="Y28" s="39"/>
      <c r="Z28" s="39"/>
      <c r="AA28" s="39"/>
    </row>
    <row r="29" spans="1:29">
      <c r="A29" s="19">
        <v>11</v>
      </c>
      <c r="B29" s="19" t="s">
        <v>155</v>
      </c>
      <c r="C29" s="39">
        <f t="shared" si="4"/>
        <v>1580.9</v>
      </c>
      <c r="D29" s="103"/>
      <c r="E29" s="103"/>
      <c r="F29" s="103"/>
      <c r="G29" s="39">
        <v>38.4</v>
      </c>
      <c r="H29" s="39"/>
      <c r="I29" s="39"/>
      <c r="J29" s="39"/>
      <c r="K29" s="39">
        <v>169</v>
      </c>
      <c r="L29" s="39">
        <v>10</v>
      </c>
      <c r="M29" s="104"/>
      <c r="N29" s="105">
        <v>200</v>
      </c>
      <c r="O29" s="39">
        <v>223.5</v>
      </c>
      <c r="P29" s="39"/>
      <c r="Q29" s="39"/>
      <c r="R29" s="39">
        <v>690</v>
      </c>
      <c r="S29" s="39">
        <v>50</v>
      </c>
      <c r="T29" s="39"/>
      <c r="U29" s="39"/>
      <c r="V29" s="39"/>
      <c r="W29" s="39"/>
      <c r="X29" s="39"/>
      <c r="Y29" s="39">
        <v>200</v>
      </c>
      <c r="Z29" s="39"/>
      <c r="AA29" s="39"/>
    </row>
    <row r="30" spans="1:29">
      <c r="A30" s="23">
        <v>708</v>
      </c>
      <c r="B30" s="23" t="s">
        <v>151</v>
      </c>
      <c r="C30" s="101">
        <f>SUM(D30:Z30)</f>
        <v>2128.1</v>
      </c>
      <c r="D30" s="101">
        <f>SUM(D26:D29)</f>
        <v>0</v>
      </c>
      <c r="E30" s="101">
        <f t="shared" ref="E30:AA30" si="5">SUM(E26:E29)</f>
        <v>0</v>
      </c>
      <c r="F30" s="101">
        <f t="shared" si="5"/>
        <v>0</v>
      </c>
      <c r="G30" s="101">
        <f t="shared" si="5"/>
        <v>38.4</v>
      </c>
      <c r="H30" s="101">
        <f t="shared" si="5"/>
        <v>0</v>
      </c>
      <c r="I30" s="101">
        <f t="shared" si="5"/>
        <v>0</v>
      </c>
      <c r="J30" s="101">
        <f t="shared" si="5"/>
        <v>0</v>
      </c>
      <c r="K30" s="101">
        <f t="shared" si="5"/>
        <v>369</v>
      </c>
      <c r="L30" s="101">
        <f t="shared" si="5"/>
        <v>10</v>
      </c>
      <c r="M30" s="101">
        <f t="shared" si="5"/>
        <v>0</v>
      </c>
      <c r="N30" s="101">
        <f t="shared" si="5"/>
        <v>200</v>
      </c>
      <c r="O30" s="101">
        <f t="shared" si="5"/>
        <v>223.5</v>
      </c>
      <c r="P30" s="101">
        <f t="shared" si="5"/>
        <v>0</v>
      </c>
      <c r="Q30" s="101">
        <f t="shared" si="5"/>
        <v>0</v>
      </c>
      <c r="R30" s="101">
        <f t="shared" si="5"/>
        <v>1037.2</v>
      </c>
      <c r="S30" s="101">
        <f t="shared" si="5"/>
        <v>50</v>
      </c>
      <c r="T30" s="101">
        <f t="shared" si="5"/>
        <v>0</v>
      </c>
      <c r="U30" s="101">
        <f t="shared" si="5"/>
        <v>0</v>
      </c>
      <c r="V30" s="101">
        <f t="shared" si="5"/>
        <v>0</v>
      </c>
      <c r="W30" s="101">
        <f t="shared" si="5"/>
        <v>0</v>
      </c>
      <c r="X30" s="101">
        <f t="shared" si="5"/>
        <v>0</v>
      </c>
      <c r="Y30" s="101">
        <f t="shared" si="5"/>
        <v>200</v>
      </c>
      <c r="Z30" s="101">
        <f t="shared" si="5"/>
        <v>0</v>
      </c>
      <c r="AA30" s="101">
        <f t="shared" si="5"/>
        <v>0</v>
      </c>
    </row>
    <row r="31" spans="1:29">
      <c r="A31" s="19"/>
      <c r="B31" s="1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1:29">
      <c r="A32" s="19">
        <v>12</v>
      </c>
      <c r="B32" s="19" t="s">
        <v>138</v>
      </c>
      <c r="C32" s="39">
        <f>SUM(D32:AA32)</f>
        <v>134422</v>
      </c>
      <c r="D32" s="39"/>
      <c r="E32" s="39"/>
      <c r="F32" s="39"/>
      <c r="G32" s="39"/>
      <c r="H32" s="39"/>
      <c r="I32" s="39"/>
      <c r="J32" s="39"/>
      <c r="K32" s="39"/>
      <c r="L32" s="39"/>
      <c r="M32" s="39">
        <v>123692</v>
      </c>
      <c r="N32" s="39">
        <v>3576.6</v>
      </c>
      <c r="O32" s="39">
        <v>3576.6</v>
      </c>
      <c r="P32" s="39"/>
      <c r="Q32" s="39"/>
      <c r="R32" s="39"/>
      <c r="S32" s="39"/>
      <c r="T32" s="39"/>
      <c r="U32" s="39"/>
      <c r="V32" s="39"/>
      <c r="W32" s="39"/>
      <c r="X32" s="39"/>
      <c r="Y32" s="39">
        <f>3576.7+0.1</f>
        <v>3576.7999999999997</v>
      </c>
      <c r="Z32" s="39"/>
      <c r="AA32" s="39"/>
    </row>
    <row r="33" spans="1:27">
      <c r="A33" s="19"/>
      <c r="B33" s="1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</row>
    <row r="34" spans="1:27">
      <c r="A34" s="23">
        <v>709</v>
      </c>
      <c r="B34" s="23" t="s">
        <v>151</v>
      </c>
      <c r="C34" s="101">
        <f>SUM(D34:Z34)</f>
        <v>134422</v>
      </c>
      <c r="D34" s="101">
        <f>SUM(D32:D33)</f>
        <v>0</v>
      </c>
      <c r="E34" s="101">
        <f t="shared" ref="E34:AA34" si="6">SUM(E32:E33)</f>
        <v>0</v>
      </c>
      <c r="F34" s="101">
        <f t="shared" si="6"/>
        <v>0</v>
      </c>
      <c r="G34" s="101">
        <f t="shared" si="6"/>
        <v>0</v>
      </c>
      <c r="H34" s="101">
        <f t="shared" si="6"/>
        <v>0</v>
      </c>
      <c r="I34" s="101">
        <f t="shared" si="6"/>
        <v>0</v>
      </c>
      <c r="J34" s="101">
        <f t="shared" si="6"/>
        <v>0</v>
      </c>
      <c r="K34" s="101">
        <f t="shared" si="6"/>
        <v>0</v>
      </c>
      <c r="L34" s="101">
        <f t="shared" si="6"/>
        <v>0</v>
      </c>
      <c r="M34" s="101">
        <f t="shared" si="6"/>
        <v>123692</v>
      </c>
      <c r="N34" s="101">
        <f t="shared" si="6"/>
        <v>3576.6</v>
      </c>
      <c r="O34" s="101">
        <f t="shared" si="6"/>
        <v>3576.6</v>
      </c>
      <c r="P34" s="101">
        <f t="shared" si="6"/>
        <v>0</v>
      </c>
      <c r="Q34" s="101">
        <f t="shared" si="6"/>
        <v>0</v>
      </c>
      <c r="R34" s="101">
        <f t="shared" si="6"/>
        <v>0</v>
      </c>
      <c r="S34" s="101">
        <f t="shared" si="6"/>
        <v>0</v>
      </c>
      <c r="T34" s="101">
        <f t="shared" si="6"/>
        <v>0</v>
      </c>
      <c r="U34" s="101">
        <f t="shared" si="6"/>
        <v>0</v>
      </c>
      <c r="V34" s="101">
        <f t="shared" si="6"/>
        <v>0</v>
      </c>
      <c r="W34" s="101">
        <f t="shared" si="6"/>
        <v>0</v>
      </c>
      <c r="X34" s="101">
        <f t="shared" si="6"/>
        <v>0</v>
      </c>
      <c r="Y34" s="101">
        <f t="shared" si="6"/>
        <v>3576.7999999999997</v>
      </c>
      <c r="Z34" s="101">
        <f t="shared" si="6"/>
        <v>0</v>
      </c>
      <c r="AA34" s="101">
        <f t="shared" si="6"/>
        <v>0</v>
      </c>
    </row>
    <row r="35" spans="1:27">
      <c r="A35" s="23"/>
      <c r="B35" s="23"/>
      <c r="C35" s="39">
        <f t="shared" ref="C35" si="7">SUM(D35:AA35)</f>
        <v>0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39"/>
      <c r="Z35" s="39"/>
      <c r="AA35" s="39"/>
    </row>
    <row r="36" spans="1:27">
      <c r="A36" s="1"/>
      <c r="B36" s="1"/>
      <c r="C36" s="10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34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</row>
    <row r="39" spans="1:27">
      <c r="C39" s="34" t="s">
        <v>74</v>
      </c>
      <c r="D39" s="4"/>
      <c r="E39" s="30"/>
      <c r="F39" s="30"/>
      <c r="G39" s="30"/>
      <c r="H39" s="35"/>
      <c r="I39" s="70"/>
      <c r="J39" s="70"/>
      <c r="K39" s="35"/>
      <c r="L39" s="70"/>
      <c r="M39" s="70"/>
      <c r="N39" s="70"/>
      <c r="O39" s="70"/>
      <c r="P39" s="35" t="s">
        <v>75</v>
      </c>
      <c r="Q39" s="35"/>
      <c r="R39" s="70"/>
    </row>
    <row r="40" spans="1:27">
      <c r="C40" s="2"/>
    </row>
    <row r="41" spans="1:27">
      <c r="C41" s="102"/>
    </row>
  </sheetData>
  <mergeCells count="4">
    <mergeCell ref="Y1:AA1"/>
    <mergeCell ref="Y2:AA2"/>
    <mergeCell ref="B6:AA6"/>
    <mergeCell ref="B7:AA7"/>
  </mergeCells>
  <pageMargins left="0.19685039370078741" right="0.19685039370078741" top="0.39370078740157483" bottom="0.39370078740157483" header="0.31496062992125984" footer="0.31496062992125984"/>
  <pageSetup paperSize="9" scale="6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60"/>
  <sheetViews>
    <sheetView topLeftCell="A44" workbookViewId="0">
      <selection activeCell="B2" sqref="B2"/>
    </sheetView>
  </sheetViews>
  <sheetFormatPr defaultColWidth="6.7109375" defaultRowHeight="15.75"/>
  <cols>
    <col min="1" max="1" width="4.28515625" style="70" bestFit="1" customWidth="1"/>
    <col min="2" max="2" width="35.42578125" style="70" customWidth="1"/>
    <col min="3" max="3" width="12.42578125" style="70" customWidth="1"/>
    <col min="4" max="4" width="10.7109375" style="70" customWidth="1"/>
    <col min="5" max="5" width="11.5703125" style="70" customWidth="1"/>
    <col min="6" max="6" width="11.28515625" style="70" customWidth="1"/>
    <col min="7" max="16384" width="6.7109375" style="70"/>
  </cols>
  <sheetData>
    <row r="1" spans="1:9" ht="46.15" customHeight="1">
      <c r="D1" s="107"/>
      <c r="E1" s="149" t="s">
        <v>1</v>
      </c>
      <c r="F1" s="149"/>
    </row>
    <row r="2" spans="1:9" ht="13.9" customHeight="1">
      <c r="D2" s="108"/>
      <c r="E2" s="108" t="s">
        <v>2</v>
      </c>
      <c r="F2" s="108"/>
    </row>
    <row r="3" spans="1:9">
      <c r="D3" s="5"/>
      <c r="E3" s="5" t="s">
        <v>3</v>
      </c>
      <c r="F3" s="6"/>
    </row>
    <row r="4" spans="1:9">
      <c r="D4" s="7"/>
      <c r="E4" s="7" t="s">
        <v>156</v>
      </c>
      <c r="F4" s="6"/>
    </row>
    <row r="5" spans="1:9">
      <c r="B5" s="71"/>
      <c r="D5" s="8"/>
      <c r="E5" s="8"/>
      <c r="F5" s="8"/>
    </row>
    <row r="6" spans="1:9">
      <c r="B6" s="71"/>
      <c r="D6" s="8"/>
      <c r="E6" s="8"/>
      <c r="F6" s="8"/>
    </row>
    <row r="7" spans="1:9">
      <c r="B7" s="150" t="s">
        <v>157</v>
      </c>
      <c r="C7" s="150"/>
      <c r="D7" s="150"/>
      <c r="E7" s="150"/>
      <c r="F7" s="150"/>
    </row>
    <row r="8" spans="1:9">
      <c r="B8" s="150" t="s">
        <v>198</v>
      </c>
      <c r="C8" s="150"/>
      <c r="D8" s="150"/>
      <c r="E8" s="150"/>
      <c r="F8" s="150"/>
    </row>
    <row r="9" spans="1:9" ht="16.5" thickBot="1">
      <c r="A9" s="151"/>
      <c r="B9" s="151"/>
      <c r="C9" s="151"/>
      <c r="D9" s="151"/>
      <c r="E9" s="151"/>
      <c r="F9" s="151"/>
    </row>
    <row r="10" spans="1:9" ht="31.5">
      <c r="A10" s="72" t="s">
        <v>78</v>
      </c>
      <c r="B10" s="72" t="s">
        <v>79</v>
      </c>
      <c r="C10" s="153" t="s">
        <v>158</v>
      </c>
      <c r="D10" s="154"/>
      <c r="E10" s="153" t="s">
        <v>159</v>
      </c>
      <c r="F10" s="154"/>
    </row>
    <row r="11" spans="1:9" ht="31.5">
      <c r="A11" s="109"/>
      <c r="B11" s="109"/>
      <c r="C11" s="110" t="s">
        <v>160</v>
      </c>
      <c r="D11" s="111" t="s">
        <v>161</v>
      </c>
      <c r="E11" s="110" t="s">
        <v>160</v>
      </c>
      <c r="F11" s="111" t="s">
        <v>161</v>
      </c>
    </row>
    <row r="12" spans="1:9">
      <c r="A12" s="76"/>
      <c r="B12" s="76"/>
      <c r="C12" s="112">
        <f>'[3]Т 1'!L58-Т3!C13</f>
        <v>1.3800000189803541E-2</v>
      </c>
      <c r="D12" s="112">
        <f>'[3]Т 1'!L66-Т3!D13</f>
        <v>0</v>
      </c>
      <c r="E12" s="112">
        <f>'[3]Т 1'!N58-Т3!E13</f>
        <v>1.3799999956972897E-2</v>
      </c>
      <c r="F12" s="112">
        <f>'[3]Т 1'!N66-Т3!F13</f>
        <v>0</v>
      </c>
    </row>
    <row r="13" spans="1:9">
      <c r="A13" s="81"/>
      <c r="B13" s="81" t="s">
        <v>108</v>
      </c>
      <c r="C13" s="83">
        <f>SUM(C21,C24,C27,C33,C39,C47,C53,C57)</f>
        <v>951171.59999999986</v>
      </c>
      <c r="D13" s="83">
        <f>SUM(D21,D24,D27,D33,D39,D47,D53,D57)</f>
        <v>262344.59999999998</v>
      </c>
      <c r="E13" s="83">
        <f>SUM(E21,E24,E27,E33,E39,E47,E53,E57)</f>
        <v>1034471.8999999999</v>
      </c>
      <c r="F13" s="83">
        <f>SUM(F21,F24,F27,F33,F39,F47,F53,F57)</f>
        <v>262344.59999999998</v>
      </c>
      <c r="I13" s="71"/>
    </row>
    <row r="14" spans="1:9" ht="16.5" customHeight="1">
      <c r="A14" s="76">
        <v>1</v>
      </c>
      <c r="B14" s="76" t="s">
        <v>109</v>
      </c>
      <c r="C14" s="84">
        <v>62751.7</v>
      </c>
      <c r="D14" s="84">
        <v>100</v>
      </c>
      <c r="E14" s="84">
        <v>62751.7</v>
      </c>
      <c r="F14" s="84">
        <v>100</v>
      </c>
    </row>
    <row r="15" spans="1:9" s="89" customFormat="1">
      <c r="A15" s="85"/>
      <c r="B15" s="86" t="s">
        <v>110</v>
      </c>
      <c r="C15" s="87">
        <v>4000</v>
      </c>
      <c r="D15" s="79"/>
      <c r="E15" s="87">
        <v>4000</v>
      </c>
      <c r="F15" s="79"/>
    </row>
    <row r="16" spans="1:9" ht="12.4" customHeight="1">
      <c r="A16" s="76">
        <v>2</v>
      </c>
      <c r="B16" s="76" t="s">
        <v>111</v>
      </c>
      <c r="C16" s="84">
        <v>4981.3</v>
      </c>
      <c r="D16" s="84"/>
      <c r="E16" s="84">
        <v>4981.3</v>
      </c>
      <c r="F16" s="84"/>
    </row>
    <row r="17" spans="1:6" s="93" customFormat="1" ht="31.5">
      <c r="A17" s="91" t="s">
        <v>112</v>
      </c>
      <c r="B17" s="92" t="s">
        <v>113</v>
      </c>
      <c r="C17" s="84">
        <v>11210.9</v>
      </c>
      <c r="D17" s="84"/>
      <c r="E17" s="84">
        <v>11210.9</v>
      </c>
      <c r="F17" s="84"/>
    </row>
    <row r="18" spans="1:6">
      <c r="A18" s="76">
        <v>4</v>
      </c>
      <c r="B18" s="76" t="s">
        <v>114</v>
      </c>
      <c r="C18" s="84">
        <v>9213.7999999999993</v>
      </c>
      <c r="D18" s="84"/>
      <c r="E18" s="84">
        <v>9213.7999999999993</v>
      </c>
      <c r="F18" s="84"/>
    </row>
    <row r="19" spans="1:6">
      <c r="A19" s="76">
        <v>5</v>
      </c>
      <c r="B19" s="76" t="s">
        <v>162</v>
      </c>
      <c r="C19" s="84">
        <v>6381.2</v>
      </c>
      <c r="D19" s="84"/>
      <c r="E19" s="84">
        <v>6381.2</v>
      </c>
      <c r="F19" s="84"/>
    </row>
    <row r="20" spans="1:6">
      <c r="A20" s="76"/>
      <c r="B20" s="94"/>
      <c r="C20" s="84"/>
      <c r="D20" s="84"/>
      <c r="E20" s="84"/>
      <c r="F20" s="84"/>
    </row>
    <row r="21" spans="1:6">
      <c r="A21" s="81">
        <v>701</v>
      </c>
      <c r="B21" s="81" t="s">
        <v>117</v>
      </c>
      <c r="C21" s="83">
        <f>SUM(C14:C20)-C15</f>
        <v>94538.9</v>
      </c>
      <c r="D21" s="83">
        <f>SUM(D14:D20)-D15</f>
        <v>100</v>
      </c>
      <c r="E21" s="83">
        <f>SUM(E14:E20)-E15</f>
        <v>94538.9</v>
      </c>
      <c r="F21" s="83">
        <f>SUM(F14:F20)-F15</f>
        <v>100</v>
      </c>
    </row>
    <row r="22" spans="1:6">
      <c r="A22" s="76"/>
      <c r="B22" s="76"/>
      <c r="C22" s="79"/>
      <c r="D22" s="79"/>
      <c r="E22" s="79"/>
      <c r="F22" s="79"/>
    </row>
    <row r="23" spans="1:6">
      <c r="A23" s="76">
        <v>6</v>
      </c>
      <c r="B23" s="76" t="s">
        <v>118</v>
      </c>
      <c r="C23" s="84">
        <v>5647.4</v>
      </c>
      <c r="D23" s="84"/>
      <c r="E23" s="84">
        <v>5647.4</v>
      </c>
      <c r="F23" s="84"/>
    </row>
    <row r="24" spans="1:6">
      <c r="A24" s="81">
        <v>702</v>
      </c>
      <c r="B24" s="81" t="s">
        <v>117</v>
      </c>
      <c r="C24" s="83">
        <f t="shared" ref="C24:E24" si="0">SUM(C23:C23)</f>
        <v>5647.4</v>
      </c>
      <c r="D24" s="83">
        <f t="shared" si="0"/>
        <v>0</v>
      </c>
      <c r="E24" s="83">
        <f t="shared" si="0"/>
        <v>5647.4</v>
      </c>
      <c r="F24" s="83">
        <f>SUM(F23:F23)</f>
        <v>0</v>
      </c>
    </row>
    <row r="25" spans="1:6">
      <c r="A25" s="76"/>
      <c r="B25" s="76"/>
      <c r="C25" s="79"/>
      <c r="D25" s="79"/>
      <c r="E25" s="79"/>
      <c r="F25" s="79"/>
    </row>
    <row r="26" spans="1:6" hidden="1">
      <c r="A26" s="76">
        <v>6</v>
      </c>
      <c r="B26" s="76" t="s">
        <v>119</v>
      </c>
      <c r="C26" s="79"/>
      <c r="D26" s="79"/>
      <c r="E26" s="79"/>
      <c r="F26" s="79"/>
    </row>
    <row r="27" spans="1:6" hidden="1">
      <c r="A27" s="81">
        <v>703</v>
      </c>
      <c r="B27" s="81" t="s">
        <v>117</v>
      </c>
      <c r="C27" s="83"/>
      <c r="D27" s="83"/>
      <c r="E27" s="83"/>
      <c r="F27" s="83"/>
    </row>
    <row r="28" spans="1:6" hidden="1">
      <c r="A28" s="81"/>
      <c r="B28" s="81"/>
      <c r="C28" s="83"/>
      <c r="D28" s="83"/>
      <c r="E28" s="83"/>
      <c r="F28" s="83"/>
    </row>
    <row r="29" spans="1:6">
      <c r="A29" s="76">
        <v>7</v>
      </c>
      <c r="B29" s="94" t="s">
        <v>120</v>
      </c>
      <c r="C29" s="84">
        <v>121808.3</v>
      </c>
      <c r="D29" s="84">
        <f>12000+18100</f>
        <v>30100</v>
      </c>
      <c r="E29" s="84">
        <v>121808.3</v>
      </c>
      <c r="F29" s="84">
        <f>12000+18100</f>
        <v>30100</v>
      </c>
    </row>
    <row r="30" spans="1:6" s="89" customFormat="1" ht="31.5" hidden="1">
      <c r="A30" s="85" t="s">
        <v>163</v>
      </c>
      <c r="B30" s="113" t="s">
        <v>164</v>
      </c>
      <c r="C30" s="84"/>
      <c r="D30" s="84"/>
      <c r="E30" s="84"/>
      <c r="F30" s="84"/>
    </row>
    <row r="31" spans="1:6" ht="31.5">
      <c r="A31" s="76">
        <v>8</v>
      </c>
      <c r="B31" s="94" t="s">
        <v>121</v>
      </c>
      <c r="C31" s="84">
        <f>134795.8-100</f>
        <v>134695.79999999999</v>
      </c>
      <c r="D31" s="79"/>
      <c r="E31" s="84">
        <f>191231.6-100</f>
        <v>191131.6</v>
      </c>
      <c r="F31" s="84"/>
    </row>
    <row r="32" spans="1:6">
      <c r="A32" s="76">
        <v>9</v>
      </c>
      <c r="B32" s="76" t="s">
        <v>125</v>
      </c>
      <c r="C32" s="79">
        <f>80114.6-23070</f>
        <v>57044.600000000006</v>
      </c>
      <c r="D32" s="79"/>
      <c r="E32" s="79">
        <f>106979.1-23070</f>
        <v>83909.1</v>
      </c>
      <c r="F32" s="79"/>
    </row>
    <row r="33" spans="1:6">
      <c r="A33" s="81"/>
      <c r="B33" s="81" t="s">
        <v>117</v>
      </c>
      <c r="C33" s="77">
        <f>SUM(C29:C32)</f>
        <v>313548.69999999995</v>
      </c>
      <c r="D33" s="77">
        <f>SUM(D29:D32)</f>
        <v>30100</v>
      </c>
      <c r="E33" s="77">
        <f>SUM(E29:E32)</f>
        <v>396849</v>
      </c>
      <c r="F33" s="77">
        <f>SUM(F29:F32)</f>
        <v>30100</v>
      </c>
    </row>
    <row r="34" spans="1:6">
      <c r="A34" s="76">
        <v>10</v>
      </c>
      <c r="B34" s="19" t="s">
        <v>126</v>
      </c>
      <c r="C34" s="84">
        <v>118813</v>
      </c>
      <c r="D34" s="84">
        <v>90</v>
      </c>
      <c r="E34" s="84">
        <v>118813</v>
      </c>
      <c r="F34" s="84">
        <v>90</v>
      </c>
    </row>
    <row r="35" spans="1:6" s="93" customFormat="1">
      <c r="A35" s="96">
        <v>11</v>
      </c>
      <c r="B35" s="96" t="s">
        <v>127</v>
      </c>
      <c r="C35" s="84">
        <v>61728.3</v>
      </c>
      <c r="D35" s="84">
        <v>70</v>
      </c>
      <c r="E35" s="84">
        <v>61728.3</v>
      </c>
      <c r="F35" s="84">
        <v>70</v>
      </c>
    </row>
    <row r="36" spans="1:6">
      <c r="A36" s="76">
        <v>12</v>
      </c>
      <c r="B36" s="19" t="s">
        <v>128</v>
      </c>
      <c r="C36" s="84">
        <v>39776</v>
      </c>
      <c r="D36" s="84">
        <f>84728.1-4582</f>
        <v>80146.100000000006</v>
      </c>
      <c r="E36" s="84">
        <v>39776</v>
      </c>
      <c r="F36" s="84">
        <f>84728.1-4582</f>
        <v>80146.100000000006</v>
      </c>
    </row>
    <row r="37" spans="1:6" ht="31.5">
      <c r="A37" s="96">
        <v>13</v>
      </c>
      <c r="B37" s="94" t="s">
        <v>40</v>
      </c>
      <c r="C37" s="84">
        <v>30398.9</v>
      </c>
      <c r="D37" s="84">
        <v>15288.4</v>
      </c>
      <c r="E37" s="84">
        <v>30398.9</v>
      </c>
      <c r="F37" s="84">
        <v>15288.4</v>
      </c>
    </row>
    <row r="38" spans="1:6">
      <c r="A38" s="76">
        <v>14</v>
      </c>
      <c r="B38" s="94" t="s">
        <v>165</v>
      </c>
      <c r="C38" s="84">
        <v>47617.4</v>
      </c>
      <c r="D38" s="84"/>
      <c r="E38" s="84">
        <v>47617.4</v>
      </c>
      <c r="F38" s="84"/>
    </row>
    <row r="39" spans="1:6">
      <c r="A39" s="81">
        <v>706</v>
      </c>
      <c r="B39" s="81" t="s">
        <v>117</v>
      </c>
      <c r="C39" s="83">
        <f>SUM(C34:C38)</f>
        <v>298333.59999999998</v>
      </c>
      <c r="D39" s="83">
        <f>SUM(D34:D38)</f>
        <v>95594.5</v>
      </c>
      <c r="E39" s="83">
        <f>SUM(E34:E38)</f>
        <v>298333.59999999998</v>
      </c>
      <c r="F39" s="83">
        <f>SUM(F34:F38)</f>
        <v>95594.5</v>
      </c>
    </row>
    <row r="40" spans="1:6" ht="13.15" customHeight="1">
      <c r="A40" s="81"/>
      <c r="B40" s="81"/>
      <c r="C40" s="83"/>
      <c r="D40" s="83"/>
      <c r="E40" s="83"/>
      <c r="F40" s="83"/>
    </row>
    <row r="41" spans="1:6">
      <c r="A41" s="76">
        <v>15</v>
      </c>
      <c r="B41" s="76" t="s">
        <v>131</v>
      </c>
      <c r="C41" s="79">
        <v>9373.9</v>
      </c>
      <c r="D41" s="79">
        <v>100</v>
      </c>
      <c r="E41" s="79">
        <v>9373.9</v>
      </c>
      <c r="F41" s="79">
        <v>100</v>
      </c>
    </row>
    <row r="42" spans="1:6">
      <c r="A42" s="76">
        <v>16</v>
      </c>
      <c r="B42" s="76" t="s">
        <v>132</v>
      </c>
      <c r="C42" s="84">
        <v>1715.2</v>
      </c>
      <c r="D42" s="84"/>
      <c r="E42" s="84">
        <v>1715.2</v>
      </c>
      <c r="F42" s="84"/>
    </row>
    <row r="43" spans="1:6">
      <c r="A43" s="76">
        <v>17</v>
      </c>
      <c r="B43" s="76" t="s">
        <v>133</v>
      </c>
      <c r="C43" s="84">
        <v>5424</v>
      </c>
      <c r="D43" s="84">
        <v>100</v>
      </c>
      <c r="E43" s="84">
        <v>5424</v>
      </c>
      <c r="F43" s="84">
        <v>100</v>
      </c>
    </row>
    <row r="44" spans="1:6" ht="31.5">
      <c r="A44" s="76">
        <v>18</v>
      </c>
      <c r="B44" s="94" t="s">
        <v>166</v>
      </c>
      <c r="C44" s="79">
        <v>19576.900000000001</v>
      </c>
      <c r="D44" s="79"/>
      <c r="E44" s="79">
        <v>19576.900000000001</v>
      </c>
      <c r="F44" s="84"/>
    </row>
    <row r="45" spans="1:6">
      <c r="A45" s="76">
        <v>19</v>
      </c>
      <c r="B45" s="76" t="s">
        <v>135</v>
      </c>
      <c r="C45" s="84">
        <v>13441.8</v>
      </c>
      <c r="D45" s="84">
        <v>347.2</v>
      </c>
      <c r="E45" s="84">
        <v>13441.8</v>
      </c>
      <c r="F45" s="84">
        <v>347.2</v>
      </c>
    </row>
    <row r="46" spans="1:6">
      <c r="A46" s="76">
        <v>20</v>
      </c>
      <c r="B46" s="76" t="s">
        <v>167</v>
      </c>
      <c r="C46" s="84">
        <v>2331.3000000000002</v>
      </c>
      <c r="D46" s="84">
        <v>1580.9</v>
      </c>
      <c r="E46" s="84">
        <v>2331.3000000000002</v>
      </c>
      <c r="F46" s="84">
        <v>1580.9</v>
      </c>
    </row>
    <row r="47" spans="1:6">
      <c r="A47" s="81">
        <v>708</v>
      </c>
      <c r="B47" s="81" t="s">
        <v>117</v>
      </c>
      <c r="C47" s="83">
        <f>SUM(C41:C46)</f>
        <v>51863.100000000006</v>
      </c>
      <c r="D47" s="83">
        <f>SUM(D41:D46)</f>
        <v>2128.1000000000004</v>
      </c>
      <c r="E47" s="83">
        <f>SUM(E41:E46)</f>
        <v>51863.100000000006</v>
      </c>
      <c r="F47" s="83">
        <f>SUM(F41:F46)</f>
        <v>2128.1000000000004</v>
      </c>
    </row>
    <row r="48" spans="1:6" ht="12" customHeight="1">
      <c r="A48" s="81"/>
      <c r="B48" s="81"/>
      <c r="C48" s="83"/>
      <c r="D48" s="83"/>
      <c r="E48" s="83"/>
      <c r="F48" s="83"/>
    </row>
    <row r="49" spans="1:15">
      <c r="A49" s="76">
        <v>21</v>
      </c>
      <c r="B49" s="76" t="s">
        <v>137</v>
      </c>
      <c r="C49" s="84">
        <f>89006.6-5000</f>
        <v>84006.6</v>
      </c>
      <c r="D49" s="84"/>
      <c r="E49" s="84">
        <f>89006.6-5000</f>
        <v>84006.6</v>
      </c>
      <c r="F49" s="84"/>
    </row>
    <row r="50" spans="1:15">
      <c r="A50" s="76">
        <v>22</v>
      </c>
      <c r="B50" s="76" t="s">
        <v>138</v>
      </c>
      <c r="C50" s="84">
        <f>93199.7-5000</f>
        <v>88199.7</v>
      </c>
      <c r="D50" s="84">
        <f>134421.9+0.1</f>
        <v>134422</v>
      </c>
      <c r="E50" s="84">
        <f>93199.7-5000</f>
        <v>88199.7</v>
      </c>
      <c r="F50" s="84">
        <f>134421.9+0.1</f>
        <v>134422</v>
      </c>
    </row>
    <row r="51" spans="1:15">
      <c r="A51" s="76">
        <v>23</v>
      </c>
      <c r="B51" s="76" t="s">
        <v>139</v>
      </c>
      <c r="C51" s="84">
        <v>2945.7</v>
      </c>
      <c r="D51" s="84"/>
      <c r="E51" s="84">
        <v>2945.7</v>
      </c>
      <c r="F51" s="84"/>
    </row>
    <row r="52" spans="1:15" hidden="1">
      <c r="A52" s="76">
        <v>24</v>
      </c>
      <c r="B52" s="76" t="s">
        <v>140</v>
      </c>
      <c r="C52" s="84"/>
      <c r="D52" s="84"/>
      <c r="E52" s="84"/>
      <c r="F52" s="84"/>
    </row>
    <row r="53" spans="1:15">
      <c r="A53" s="81">
        <v>709</v>
      </c>
      <c r="B53" s="81" t="s">
        <v>117</v>
      </c>
      <c r="C53" s="83">
        <f t="shared" ref="C53:F53" si="1">SUM(C49:C52)</f>
        <v>175152</v>
      </c>
      <c r="D53" s="83">
        <f t="shared" si="1"/>
        <v>134422</v>
      </c>
      <c r="E53" s="83">
        <f t="shared" ref="E53" si="2">SUM(E49:E52)</f>
        <v>175152</v>
      </c>
      <c r="F53" s="83">
        <f t="shared" si="1"/>
        <v>134422</v>
      </c>
    </row>
    <row r="54" spans="1:15" ht="9.4" customHeight="1">
      <c r="A54" s="81"/>
      <c r="B54" s="81"/>
      <c r="C54" s="83"/>
      <c r="D54" s="83"/>
      <c r="E54" s="83"/>
      <c r="F54" s="83"/>
    </row>
    <row r="55" spans="1:15">
      <c r="A55" s="76">
        <v>25</v>
      </c>
      <c r="B55" s="76" t="s">
        <v>142</v>
      </c>
      <c r="C55" s="84">
        <v>10992.4</v>
      </c>
      <c r="D55" s="84"/>
      <c r="E55" s="84">
        <v>10992.4</v>
      </c>
      <c r="F55" s="84"/>
    </row>
    <row r="56" spans="1:15">
      <c r="A56" s="76">
        <v>26</v>
      </c>
      <c r="B56" s="76" t="s">
        <v>143</v>
      </c>
      <c r="C56" s="84">
        <v>1095.5</v>
      </c>
      <c r="D56" s="84"/>
      <c r="E56" s="84">
        <v>1095.5</v>
      </c>
      <c r="F56" s="84"/>
    </row>
    <row r="57" spans="1:15">
      <c r="A57" s="81">
        <v>710</v>
      </c>
      <c r="B57" s="81" t="s">
        <v>117</v>
      </c>
      <c r="C57" s="83">
        <f>SUM(C55:C56)</f>
        <v>12087.9</v>
      </c>
      <c r="D57" s="83">
        <f>SUM(D55:D56)</f>
        <v>0</v>
      </c>
      <c r="E57" s="83">
        <f>SUM(E55:E56)</f>
        <v>12087.9</v>
      </c>
      <c r="F57" s="83">
        <f>SUM(F55:F56)</f>
        <v>0</v>
      </c>
    </row>
    <row r="60" spans="1:15">
      <c r="B60" s="34" t="s">
        <v>74</v>
      </c>
      <c r="C60" s="4"/>
      <c r="D60" s="30"/>
      <c r="E60" s="35" t="s">
        <v>75</v>
      </c>
      <c r="F60" s="30"/>
      <c r="G60" s="35"/>
      <c r="J60" s="35"/>
      <c r="O60" s="35"/>
    </row>
  </sheetData>
  <mergeCells count="6">
    <mergeCell ref="E1:F1"/>
    <mergeCell ref="B7:F7"/>
    <mergeCell ref="B8:F8"/>
    <mergeCell ref="A9:F9"/>
    <mergeCell ref="C10:D10"/>
    <mergeCell ref="E10:F10"/>
  </mergeCells>
  <pageMargins left="0.9055118110236221" right="0.70866141732283472" top="0.55118110236220474" bottom="0.55118110236220474" header="0.31496062992125984" footer="0.31496062992125984"/>
  <pageSetup paperSize="9" scale="98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9"/>
  <sheetViews>
    <sheetView topLeftCell="A4" zoomScaleNormal="100" zoomScaleSheetLayoutView="100" workbookViewId="0">
      <selection activeCell="C6" sqref="C6"/>
    </sheetView>
  </sheetViews>
  <sheetFormatPr defaultColWidth="9.28515625" defaultRowHeight="15.75"/>
  <cols>
    <col min="1" max="1" width="3.7109375" style="3" bestFit="1" customWidth="1"/>
    <col min="2" max="2" width="35" style="3" customWidth="1"/>
    <col min="3" max="3" width="43.28515625" style="3" customWidth="1"/>
    <col min="4" max="4" width="13.7109375" style="3" customWidth="1"/>
    <col min="5" max="16384" width="9.28515625" style="3"/>
  </cols>
  <sheetData>
    <row r="1" spans="1:5" ht="44.25" customHeight="1">
      <c r="B1" s="114"/>
      <c r="C1" s="114"/>
      <c r="D1" s="149" t="s">
        <v>1</v>
      </c>
      <c r="E1" s="149"/>
    </row>
    <row r="2" spans="1:5">
      <c r="B2" s="114"/>
      <c r="C2" s="114"/>
      <c r="D2" s="108" t="s">
        <v>2</v>
      </c>
      <c r="E2" s="108"/>
    </row>
    <row r="3" spans="1:5">
      <c r="B3" s="114"/>
      <c r="C3" s="114"/>
      <c r="D3" s="5" t="s">
        <v>3</v>
      </c>
      <c r="E3" s="6"/>
    </row>
    <row r="4" spans="1:5">
      <c r="B4" s="1"/>
      <c r="C4" s="1"/>
      <c r="D4" s="7" t="s">
        <v>168</v>
      </c>
      <c r="E4" s="6"/>
    </row>
    <row r="5" spans="1:5">
      <c r="B5" s="1"/>
      <c r="C5" s="1"/>
      <c r="D5" s="8"/>
    </row>
    <row r="6" spans="1:5">
      <c r="B6" s="1"/>
      <c r="C6" s="1"/>
      <c r="D6" s="8"/>
    </row>
    <row r="7" spans="1:5" ht="32.450000000000003" customHeight="1">
      <c r="B7" s="156" t="s">
        <v>169</v>
      </c>
      <c r="C7" s="156"/>
    </row>
    <row r="8" spans="1:5">
      <c r="B8" s="157" t="s">
        <v>170</v>
      </c>
      <c r="C8" s="157"/>
      <c r="D8" s="115" t="s">
        <v>171</v>
      </c>
    </row>
    <row r="9" spans="1:5" ht="47.25">
      <c r="A9" s="116" t="s">
        <v>78</v>
      </c>
      <c r="B9" s="117" t="s">
        <v>79</v>
      </c>
      <c r="C9" s="117" t="s">
        <v>172</v>
      </c>
      <c r="D9" s="118" t="s">
        <v>173</v>
      </c>
    </row>
    <row r="10" spans="1:5" ht="15.6" customHeight="1">
      <c r="A10" s="119">
        <v>1</v>
      </c>
      <c r="B10" s="119" t="s">
        <v>121</v>
      </c>
      <c r="C10" s="119" t="s">
        <v>174</v>
      </c>
      <c r="D10" s="120">
        <v>24189.200000000001</v>
      </c>
    </row>
    <row r="11" spans="1:5" ht="15.6" customHeight="1">
      <c r="A11" s="119">
        <v>2</v>
      </c>
      <c r="B11" s="119" t="s">
        <v>175</v>
      </c>
      <c r="C11" s="119" t="s">
        <v>176</v>
      </c>
      <c r="D11" s="120">
        <v>41500</v>
      </c>
      <c r="E11" s="102"/>
    </row>
    <row r="12" spans="1:5" ht="15.6" customHeight="1">
      <c r="A12" s="119">
        <v>3</v>
      </c>
      <c r="B12" s="119" t="s">
        <v>177</v>
      </c>
      <c r="C12" s="119" t="s">
        <v>178</v>
      </c>
      <c r="D12" s="120">
        <v>40000</v>
      </c>
    </row>
    <row r="13" spans="1:5" ht="15.6" customHeight="1">
      <c r="A13" s="119"/>
      <c r="B13" s="155" t="s">
        <v>179</v>
      </c>
      <c r="C13" s="155"/>
      <c r="D13" s="121">
        <f>SUM(D10:D12)</f>
        <v>105689.2</v>
      </c>
    </row>
    <row r="14" spans="1:5" ht="63">
      <c r="A14" s="119">
        <v>4</v>
      </c>
      <c r="B14" s="119" t="s">
        <v>121</v>
      </c>
      <c r="C14" s="122" t="s">
        <v>180</v>
      </c>
      <c r="D14" s="120">
        <v>259921.2</v>
      </c>
    </row>
    <row r="15" spans="1:5">
      <c r="A15" s="123"/>
      <c r="B15" s="155" t="s">
        <v>181</v>
      </c>
      <c r="C15" s="155"/>
      <c r="D15" s="121">
        <f>SUM(D14)</f>
        <v>259921.2</v>
      </c>
    </row>
    <row r="16" spans="1:5" ht="15.6" customHeight="1">
      <c r="A16" s="155" t="s">
        <v>182</v>
      </c>
      <c r="B16" s="155"/>
      <c r="C16" s="155"/>
      <c r="D16" s="124">
        <f>SUM(D15,D13)</f>
        <v>365610.4</v>
      </c>
    </row>
    <row r="18" spans="2:5">
      <c r="B18" s="34"/>
    </row>
    <row r="19" spans="2:5">
      <c r="B19" s="34" t="s">
        <v>74</v>
      </c>
      <c r="C19" s="125" t="s">
        <v>75</v>
      </c>
      <c r="D19" s="30"/>
      <c r="E19" s="35"/>
    </row>
  </sheetData>
  <mergeCells count="6">
    <mergeCell ref="A16:C16"/>
    <mergeCell ref="D1:E1"/>
    <mergeCell ref="B7:C7"/>
    <mergeCell ref="B8:C8"/>
    <mergeCell ref="B13:C13"/>
    <mergeCell ref="B15:C15"/>
  </mergeCells>
  <printOptions horizontalCentered="1"/>
  <pageMargins left="0.19685039370078741" right="0" top="0.94488188976377963" bottom="0.74803149606299213" header="0.31496062992125984" footer="0.31496062992125984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0"/>
  <sheetViews>
    <sheetView tabSelected="1" zoomScaleNormal="100" workbookViewId="0">
      <selection activeCell="I13" sqref="I13"/>
    </sheetView>
  </sheetViews>
  <sheetFormatPr defaultColWidth="9.28515625" defaultRowHeight="15.75"/>
  <cols>
    <col min="1" max="1" width="4.42578125" style="3" customWidth="1"/>
    <col min="2" max="2" width="69.140625" style="3" customWidth="1"/>
    <col min="3" max="3" width="16.28515625" style="3" customWidth="1"/>
    <col min="4" max="4" width="9.28515625" style="3"/>
    <col min="5" max="5" width="11.85546875" style="3" bestFit="1" customWidth="1"/>
    <col min="6" max="16384" width="9.28515625" style="3"/>
  </cols>
  <sheetData>
    <row r="1" spans="1:4" ht="44.45" customHeight="1">
      <c r="B1" s="114"/>
      <c r="C1" s="149" t="s">
        <v>1</v>
      </c>
      <c r="D1" s="149"/>
    </row>
    <row r="2" spans="1:4">
      <c r="B2" s="114"/>
      <c r="C2" s="108" t="s">
        <v>2</v>
      </c>
      <c r="D2" s="108"/>
    </row>
    <row r="3" spans="1:4">
      <c r="B3" s="114"/>
      <c r="C3" s="5" t="s">
        <v>3</v>
      </c>
      <c r="D3" s="6"/>
    </row>
    <row r="4" spans="1:4">
      <c r="B4" s="1"/>
      <c r="C4" s="7" t="s">
        <v>183</v>
      </c>
      <c r="D4" s="6"/>
    </row>
    <row r="5" spans="1:4">
      <c r="B5" s="1"/>
      <c r="C5" s="8"/>
    </row>
    <row r="6" spans="1:4">
      <c r="B6" s="1"/>
      <c r="C6" s="8"/>
    </row>
    <row r="7" spans="1:4" ht="27.6" customHeight="1">
      <c r="A7" s="156" t="s">
        <v>184</v>
      </c>
      <c r="B7" s="156"/>
      <c r="C7" s="156"/>
    </row>
    <row r="8" spans="1:4">
      <c r="B8" s="126" t="s">
        <v>185</v>
      </c>
      <c r="C8" s="115" t="s">
        <v>171</v>
      </c>
    </row>
    <row r="9" spans="1:4" ht="31.5">
      <c r="A9" s="116" t="s">
        <v>78</v>
      </c>
      <c r="B9" s="118" t="s">
        <v>186</v>
      </c>
      <c r="C9" s="118" t="s">
        <v>173</v>
      </c>
    </row>
    <row r="10" spans="1:4">
      <c r="A10" s="19">
        <v>1</v>
      </c>
      <c r="B10" s="119" t="s">
        <v>187</v>
      </c>
      <c r="C10" s="127">
        <v>132.5</v>
      </c>
    </row>
    <row r="11" spans="1:4">
      <c r="A11" s="19">
        <v>2</v>
      </c>
      <c r="B11" s="119" t="s">
        <v>188</v>
      </c>
      <c r="C11" s="127">
        <v>27.2</v>
      </c>
    </row>
    <row r="12" spans="1:4">
      <c r="A12" s="19"/>
      <c r="B12" s="128" t="s">
        <v>189</v>
      </c>
      <c r="C12" s="124">
        <f>SUM(C10:C11)</f>
        <v>159.69999999999999</v>
      </c>
    </row>
    <row r="13" spans="1:4">
      <c r="A13" s="19">
        <v>3</v>
      </c>
      <c r="B13" s="119" t="s">
        <v>120</v>
      </c>
      <c r="C13" s="127">
        <v>2584.6999999999998</v>
      </c>
    </row>
    <row r="14" spans="1:4">
      <c r="A14" s="19">
        <v>4</v>
      </c>
      <c r="B14" s="119" t="s">
        <v>121</v>
      </c>
      <c r="C14" s="127">
        <v>6.5</v>
      </c>
    </row>
    <row r="15" spans="1:4">
      <c r="A15" s="19"/>
      <c r="B15" s="128" t="s">
        <v>190</v>
      </c>
      <c r="C15" s="124">
        <f>SUM(C13:C14)</f>
        <v>2591.1999999999998</v>
      </c>
    </row>
    <row r="16" spans="1:4">
      <c r="A16" s="19">
        <v>5</v>
      </c>
      <c r="B16" s="119" t="s">
        <v>126</v>
      </c>
      <c r="C16" s="127">
        <v>401.9</v>
      </c>
    </row>
    <row r="17" spans="1:11">
      <c r="A17" s="19">
        <v>6</v>
      </c>
      <c r="B17" s="119" t="s">
        <v>127</v>
      </c>
      <c r="C17" s="127">
        <v>208.9</v>
      </c>
    </row>
    <row r="18" spans="1:11">
      <c r="A18" s="19">
        <v>7</v>
      </c>
      <c r="B18" s="119" t="s">
        <v>40</v>
      </c>
      <c r="C18" s="127">
        <v>2687.5</v>
      </c>
    </row>
    <row r="19" spans="1:11">
      <c r="A19" s="19">
        <v>8</v>
      </c>
      <c r="B19" s="119" t="s">
        <v>128</v>
      </c>
      <c r="C19" s="127">
        <v>4763.6000000000004</v>
      </c>
    </row>
    <row r="20" spans="1:11">
      <c r="A20" s="19"/>
      <c r="B20" s="128" t="s">
        <v>191</v>
      </c>
      <c r="C20" s="124">
        <f>SUM(C16:C19)</f>
        <v>8061.9000000000005</v>
      </c>
    </row>
    <row r="21" spans="1:11">
      <c r="A21" s="19">
        <v>9</v>
      </c>
      <c r="B21" s="119" t="s">
        <v>154</v>
      </c>
      <c r="C21" s="127">
        <v>1162.2</v>
      </c>
    </row>
    <row r="22" spans="1:11">
      <c r="A22" s="19">
        <v>10</v>
      </c>
      <c r="B22" s="119" t="s">
        <v>153</v>
      </c>
      <c r="C22" s="127">
        <v>20</v>
      </c>
    </row>
    <row r="23" spans="1:11">
      <c r="A23" s="19">
        <v>11</v>
      </c>
      <c r="B23" s="119" t="s">
        <v>155</v>
      </c>
      <c r="C23" s="127">
        <v>13.7</v>
      </c>
    </row>
    <row r="24" spans="1:11">
      <c r="A24" s="19"/>
      <c r="B24" s="128" t="s">
        <v>192</v>
      </c>
      <c r="C24" s="124">
        <f>SUM(C21:C23)</f>
        <v>1195.9000000000001</v>
      </c>
    </row>
    <row r="25" spans="1:11">
      <c r="A25" s="19">
        <v>12</v>
      </c>
      <c r="B25" s="119" t="s">
        <v>193</v>
      </c>
      <c r="C25" s="127">
        <v>8329</v>
      </c>
    </row>
    <row r="26" spans="1:11">
      <c r="A26" s="19"/>
      <c r="B26" s="128" t="s">
        <v>194</v>
      </c>
      <c r="C26" s="124">
        <f>SUM(C25:C25)</f>
        <v>8329</v>
      </c>
    </row>
    <row r="27" spans="1:11">
      <c r="A27" s="155" t="s">
        <v>182</v>
      </c>
      <c r="B27" s="155"/>
      <c r="C27" s="124">
        <f>+C12+C15+C20+C24+C26</f>
        <v>20337.699999999997</v>
      </c>
    </row>
    <row r="28" spans="1:11">
      <c r="B28" s="1"/>
      <c r="C28" s="129"/>
      <c r="D28" s="129"/>
      <c r="E28" s="129"/>
      <c r="F28" s="130"/>
      <c r="G28" s="114"/>
      <c r="H28" s="114"/>
      <c r="I28" s="114"/>
      <c r="J28" s="114"/>
      <c r="K28" s="131"/>
    </row>
    <row r="29" spans="1:11">
      <c r="B29" s="34"/>
    </row>
    <row r="30" spans="1:11">
      <c r="B30" s="34" t="s">
        <v>74</v>
      </c>
      <c r="C30" s="125" t="s">
        <v>75</v>
      </c>
    </row>
  </sheetData>
  <mergeCells count="3">
    <mergeCell ref="C1:D1"/>
    <mergeCell ref="A7:C7"/>
    <mergeCell ref="A27:B27"/>
  </mergeCells>
  <printOptions horizontalCentered="1"/>
  <pageMargins left="0.19685039370078741" right="0" top="0.9448818897637796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 1</vt:lpstr>
      <vt:lpstr>Т2</vt:lpstr>
      <vt:lpstr>Т2а</vt:lpstr>
      <vt:lpstr>Т3</vt:lpstr>
      <vt:lpstr>Т4</vt:lpstr>
      <vt:lpstr>Т4а</vt:lpstr>
      <vt:lpstr>'Т 1'!Заголовки_для_печати</vt:lpstr>
      <vt:lpstr>Т2!Заголовки_для_печати</vt:lpstr>
      <vt:lpstr>Т2!Область_печати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Темирова</cp:lastModifiedBy>
  <cp:lastPrinted>2025-03-10T05:40:49Z</cp:lastPrinted>
  <dcterms:created xsi:type="dcterms:W3CDTF">2025-02-17T08:37:25Z</dcterms:created>
  <dcterms:modified xsi:type="dcterms:W3CDTF">2025-03-10T09:44:59Z</dcterms:modified>
</cp:coreProperties>
</file>