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30" activeTab="1"/>
  </bookViews>
  <sheets>
    <sheet name="Т 1" sheetId="4" r:id="rId1"/>
    <sheet name="Тиркеме 2 бюджет." sheetId="5" r:id="rId2"/>
    <sheet name="Тиркеме 3 Спец" sheetId="2" r:id="rId3"/>
    <sheet name="Тиркеме 4 УМС" sheetId="10" r:id="rId4"/>
  </sheets>
  <externalReferences>
    <externalReference r:id="rId5"/>
    <externalReference r:id="rId6"/>
  </externalReferences>
  <definedNames>
    <definedName name="_xlnm.Print_Titles" localSheetId="0">'Т 1'!$9:$11</definedName>
    <definedName name="_xlnm.Print_Titles" localSheetId="1">'Тиркеме 2 бюджет.'!$8:$8</definedName>
    <definedName name="об" localSheetId="0">[1]объяс.Iполугод.!#REF!</definedName>
    <definedName name="об">[1]объяс.Iполугод.!#REF!</definedName>
    <definedName name="_xlnm.Print_Area" localSheetId="2">'Тиркеме 3 Спец'!$A$1:$F$46</definedName>
    <definedName name="ололо" localSheetId="0">[2]объяс.Iполугод.!#REF!</definedName>
    <definedName name="ололо">[2]объяс.Iполугод.!#REF!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3" i="5"/>
  <c r="Q12" i="4"/>
  <c r="Q58"/>
  <c r="X15" i="10" l="1"/>
  <c r="W15"/>
  <c r="V15"/>
  <c r="T15"/>
  <c r="P15"/>
  <c r="O15"/>
  <c r="N15"/>
  <c r="K15"/>
  <c r="J15"/>
  <c r="I15"/>
  <c r="H15"/>
  <c r="D15"/>
  <c r="C15"/>
  <c r="U14"/>
  <c r="U15" s="1"/>
  <c r="F14"/>
  <c r="F15" s="1"/>
  <c r="M14" l="1"/>
  <c r="M15" s="1"/>
  <c r="Q14"/>
  <c r="Q15" s="1"/>
  <c r="R14" l="1"/>
  <c r="R15" l="1"/>
  <c r="S14"/>
  <c r="Z14" l="1"/>
  <c r="Z15" s="1"/>
  <c r="S15"/>
  <c r="Y14"/>
  <c r="Y15" l="1"/>
  <c r="AA14"/>
  <c r="AA15" s="1"/>
  <c r="Q59" i="4" l="1"/>
  <c r="E24" i="2"/>
  <c r="E21"/>
  <c r="E18" l="1"/>
  <c r="D43"/>
  <c r="E43" l="1"/>
  <c r="Q15" i="4"/>
  <c r="E174" i="5" l="1"/>
  <c r="D64"/>
  <c r="D59"/>
  <c r="D57"/>
  <c r="D56"/>
  <c r="D55"/>
  <c r="D48"/>
  <c r="D41"/>
  <c r="D35"/>
  <c r="D34"/>
  <c r="D33"/>
  <c r="D32"/>
  <c r="D30"/>
  <c r="D23"/>
  <c r="D16"/>
  <c r="D15"/>
  <c r="D12"/>
  <c r="D11"/>
  <c r="Q33" i="4"/>
  <c r="D174" i="5" l="1"/>
  <c r="R58" i="4" l="1"/>
  <c r="R33"/>
  <c r="R15"/>
  <c r="R22"/>
  <c r="R23"/>
  <c r="R24"/>
  <c r="R25"/>
  <c r="R26"/>
  <c r="R27"/>
  <c r="R28"/>
  <c r="R32"/>
  <c r="R34"/>
  <c r="R36"/>
  <c r="R37"/>
  <c r="R38"/>
  <c r="R39"/>
  <c r="R40"/>
  <c r="R41"/>
  <c r="R42"/>
  <c r="R43"/>
  <c r="R44"/>
  <c r="R45"/>
  <c r="R46"/>
  <c r="R47"/>
  <c r="R48"/>
  <c r="R49"/>
  <c r="R50"/>
  <c r="R51"/>
  <c r="R54"/>
  <c r="R55"/>
  <c r="R56"/>
  <c r="R57"/>
  <c r="R61"/>
  <c r="R21"/>
  <c r="R17"/>
  <c r="R19"/>
  <c r="R20"/>
  <c r="F12"/>
  <c r="I12"/>
  <c r="M12"/>
  <c r="O12"/>
  <c r="O18" s="1"/>
  <c r="Q18"/>
  <c r="E13"/>
  <c r="G13"/>
  <c r="E14"/>
  <c r="G14"/>
  <c r="H14"/>
  <c r="H18" s="1"/>
  <c r="I14"/>
  <c r="F17"/>
  <c r="I17"/>
  <c r="M17"/>
  <c r="J18"/>
  <c r="K18"/>
  <c r="K30" s="1"/>
  <c r="L18"/>
  <c r="N18"/>
  <c r="P18"/>
  <c r="S18"/>
  <c r="T18"/>
  <c r="F22"/>
  <c r="F29" s="1"/>
  <c r="G22"/>
  <c r="I22"/>
  <c r="I29" s="1"/>
  <c r="M22"/>
  <c r="M29" s="1"/>
  <c r="N22"/>
  <c r="N29" s="1"/>
  <c r="G23"/>
  <c r="E25"/>
  <c r="E29" s="1"/>
  <c r="H29"/>
  <c r="J29"/>
  <c r="J30" s="1"/>
  <c r="K29"/>
  <c r="L29"/>
  <c r="O29"/>
  <c r="P29"/>
  <c r="Q29"/>
  <c r="S29"/>
  <c r="T29"/>
  <c r="H31"/>
  <c r="J31"/>
  <c r="K31"/>
  <c r="L31"/>
  <c r="M31"/>
  <c r="M52" s="1"/>
  <c r="O31"/>
  <c r="P31"/>
  <c r="E32"/>
  <c r="F32"/>
  <c r="F31" s="1"/>
  <c r="G32"/>
  <c r="I32"/>
  <c r="E33"/>
  <c r="G33"/>
  <c r="I33"/>
  <c r="S33"/>
  <c r="S31" s="1"/>
  <c r="T33"/>
  <c r="G34"/>
  <c r="S34"/>
  <c r="T34"/>
  <c r="Q35"/>
  <c r="R35" s="1"/>
  <c r="E37"/>
  <c r="E38"/>
  <c r="E39"/>
  <c r="E40"/>
  <c r="H52"/>
  <c r="J52"/>
  <c r="K52"/>
  <c r="L52"/>
  <c r="N52"/>
  <c r="O52"/>
  <c r="P52"/>
  <c r="G55"/>
  <c r="G58"/>
  <c r="S58"/>
  <c r="T58"/>
  <c r="T60" s="1"/>
  <c r="Q60"/>
  <c r="E60"/>
  <c r="F60"/>
  <c r="H60"/>
  <c r="I60"/>
  <c r="J60"/>
  <c r="K60"/>
  <c r="L60"/>
  <c r="M60"/>
  <c r="N60"/>
  <c r="O60"/>
  <c r="P60"/>
  <c r="S60"/>
  <c r="L61"/>
  <c r="M61"/>
  <c r="G29" l="1"/>
  <c r="S30"/>
  <c r="E18"/>
  <c r="E30" s="1"/>
  <c r="R12"/>
  <c r="R18" s="1"/>
  <c r="I52"/>
  <c r="F18"/>
  <c r="F30" s="1"/>
  <c r="F53" s="1"/>
  <c r="F62" s="1"/>
  <c r="O30"/>
  <c r="O53" s="1"/>
  <c r="L30"/>
  <c r="L53" s="1"/>
  <c r="L62" s="1"/>
  <c r="N30"/>
  <c r="N53" s="1"/>
  <c r="N62" s="1"/>
  <c r="J53"/>
  <c r="J62" s="1"/>
  <c r="R29"/>
  <c r="F52"/>
  <c r="E31"/>
  <c r="I31"/>
  <c r="M18"/>
  <c r="M30" s="1"/>
  <c r="M53" s="1"/>
  <c r="M62" s="1"/>
  <c r="I18"/>
  <c r="I30" s="1"/>
  <c r="G60"/>
  <c r="K53"/>
  <c r="K62" s="1"/>
  <c r="T31"/>
  <c r="G31"/>
  <c r="R59"/>
  <c r="R60" s="1"/>
  <c r="R52"/>
  <c r="E52"/>
  <c r="S52"/>
  <c r="H30"/>
  <c r="H53" s="1"/>
  <c r="H62" s="1"/>
  <c r="T30"/>
  <c r="G18"/>
  <c r="G30" s="1"/>
  <c r="P30"/>
  <c r="P53" s="1"/>
  <c r="P62" s="1"/>
  <c r="Q52"/>
  <c r="O62"/>
  <c r="T52"/>
  <c r="Q31"/>
  <c r="R31" s="1"/>
  <c r="Q30"/>
  <c r="G52"/>
  <c r="S53" l="1"/>
  <c r="S62" s="1"/>
  <c r="I53"/>
  <c r="I62" s="1"/>
  <c r="R30"/>
  <c r="R53" s="1"/>
  <c r="R62" s="1"/>
  <c r="E53"/>
  <c r="E62" s="1"/>
  <c r="G53"/>
  <c r="G62" s="1"/>
  <c r="T53"/>
  <c r="T62" s="1"/>
  <c r="Q53"/>
  <c r="Q62" s="1"/>
</calcChain>
</file>

<file path=xl/comments1.xml><?xml version="1.0" encoding="utf-8"?>
<comments xmlns="http://schemas.openxmlformats.org/spreadsheetml/2006/main">
  <authors>
    <author>Nurbek Haitkulov</author>
  </authors>
  <commentList>
    <comment ref="F13" authorId="0">
      <text>
        <r>
          <rPr>
            <b/>
            <sz val="9"/>
            <color indexed="81"/>
            <rFont val="Tahoma"/>
            <family val="2"/>
            <charset val="204"/>
          </rPr>
          <t>Nurbek Haitkulov:</t>
        </r>
        <r>
          <rPr>
            <sz val="9"/>
            <color indexed="81"/>
            <rFont val="Tahoma"/>
            <family val="2"/>
            <charset val="204"/>
          </rPr>
          <t xml:space="preserve">
1087,9  - исправление на добровольный патент</t>
        </r>
      </text>
    </comment>
  </commentList>
</comments>
</file>

<file path=xl/sharedStrings.xml><?xml version="1.0" encoding="utf-8"?>
<sst xmlns="http://schemas.openxmlformats.org/spreadsheetml/2006/main" count="357" uniqueCount="265">
  <si>
    <t>№</t>
  </si>
  <si>
    <t>Мекеменин аталыша</t>
  </si>
  <si>
    <t>Соц защита</t>
  </si>
  <si>
    <t>Жашылдандыруу чарбасы</t>
  </si>
  <si>
    <t>Шаардык жолдор башкармалыгы</t>
  </si>
  <si>
    <t>Капиталдык курулуш департаменти</t>
  </si>
  <si>
    <t>Коммуналдык чарба департаменти</t>
  </si>
  <si>
    <t>Муниципалдык менчик башкармалыгы</t>
  </si>
  <si>
    <t>Мектептер</t>
  </si>
  <si>
    <t>Бала бакчалар</t>
  </si>
  <si>
    <t>Мектептен сырткары</t>
  </si>
  <si>
    <t>Курманбек стадион</t>
  </si>
  <si>
    <t>Мэрия</t>
  </si>
  <si>
    <t>Сууканал башкармалыгы</t>
  </si>
  <si>
    <t>Статья</t>
  </si>
  <si>
    <t>Кошумча суралган сумма</t>
  </si>
  <si>
    <t>Иш чаранын аталышы</t>
  </si>
  <si>
    <t>Мамлекеттик сатып алуулар порталына жарыяланган тендерден үнөмдөө</t>
  </si>
  <si>
    <t>Аскер комиссариаты</t>
  </si>
  <si>
    <t>Шаардык кенеш</t>
  </si>
  <si>
    <t>Спутник</t>
  </si>
  <si>
    <t>Дача суу түтүгүн тартууга каралган каражатты Т.Тайгараев а/б суу түтүктөрүн алмаштырууга жылдыруу</t>
  </si>
  <si>
    <t>Барпы-Сейил көчөсүнө аткарылган жумушка кошумча акча каражаты</t>
  </si>
  <si>
    <t>Техникалык шарттарды даярдоо</t>
  </si>
  <si>
    <t>Светофорлорду оңдоого</t>
  </si>
  <si>
    <t>Жаңы жыл майрамын өткөрүүгө</t>
  </si>
  <si>
    <t>Кичи сахнага ковролин алууга</t>
  </si>
  <si>
    <t>Электроматериалдар</t>
  </si>
  <si>
    <t>Ленин көчөсүнө (Байзаков проспектиси) темир тосмолорду орнотууга</t>
  </si>
  <si>
    <t>Т.Тайгараев АБ</t>
  </si>
  <si>
    <t>Спутник АБ</t>
  </si>
  <si>
    <t>Күйүүчү майга</t>
  </si>
  <si>
    <t>Электро-щит автоматы менен алууга</t>
  </si>
  <si>
    <t>Электроэнергияга кошумча каражат</t>
  </si>
  <si>
    <t>Автотетиктерге кошумча керектелүүчү каражат</t>
  </si>
  <si>
    <t>Курманбек, Бабкин көчөлөрүнүн ПСДсына перерасчет</t>
  </si>
  <si>
    <t>Битум БНД 60/90</t>
  </si>
  <si>
    <t>Сейсмикалык туруктуулук боюнча техникалык корутунду (Бахрейн шаарчасы)</t>
  </si>
  <si>
    <t>С. Осмоновдун эсебине которуу (Жогорку соттун чечимине ылайык)</t>
  </si>
  <si>
    <t>Суу тарифинин жогорулашына байланыштуу</t>
  </si>
  <si>
    <t>Суу 01.01.2023-жылга карата карыз</t>
  </si>
  <si>
    <t>№36 бала бакчага отун алууга</t>
  </si>
  <si>
    <t>Газ тарифинин жогорулашына байланыштуу</t>
  </si>
  <si>
    <t>Газ 01.01.2023-жылга карата карыз</t>
  </si>
  <si>
    <t>№8 бала бакчага акылдуу счетчик алууга</t>
  </si>
  <si>
    <t>№14 бала бакчага акылдуу счетчик алууга</t>
  </si>
  <si>
    <t>№18 бала бакчага акылдуу счетчик алууга</t>
  </si>
  <si>
    <t>ПСД даярдоого</t>
  </si>
  <si>
    <t>Маалымат борбору</t>
  </si>
  <si>
    <t>ЭЦПга кошумча каражат</t>
  </si>
  <si>
    <t>Жылытуу энергиясына кошумча</t>
  </si>
  <si>
    <t>Майлоочу майлар үчүн</t>
  </si>
  <si>
    <t>Биогумус алууга</t>
  </si>
  <si>
    <t>Т.Байзаков эс алуу багынын аталышын 3D форматында жазуу</t>
  </si>
  <si>
    <t>Чарбалык буюмдарды алууга</t>
  </si>
  <si>
    <t>Т.Байзаков проспектисин (Түрк лицей алдын) көркөмдөп жасалгалоого</t>
  </si>
  <si>
    <t>Генератор (6 кВт) алууга</t>
  </si>
  <si>
    <t>Жаңы курулган скважиналардан суу өндүрүү үчүн</t>
  </si>
  <si>
    <t>2024-жылы шаар аймагына гүл эгүү үчүн (уруктарын алуу)</t>
  </si>
  <si>
    <t>Т.Байзаков проспектисине 50 даана можевельник алууга</t>
  </si>
  <si>
    <t xml:space="preserve">Жалал-Абад шаарынын 2023-жылга шаардык кенешке сунушталган долбооруна өзгөртүүлөр тизмеси (Атайын эсеп)
</t>
  </si>
  <si>
    <t>Керек-жарак рыногу жана кызмат көрсөтүү департаменти</t>
  </si>
  <si>
    <t>Курманбек стадиону</t>
  </si>
  <si>
    <t>Таштанды чыгарууга</t>
  </si>
  <si>
    <t>Электро энергиядан үнөмдөлгөн каражат</t>
  </si>
  <si>
    <t>Өрт коопсуздугун алдын алууга керектелүүчү буюмдардан үнөмдөлгөн каражат</t>
  </si>
  <si>
    <t>Кайрымдуулук борбору</t>
  </si>
  <si>
    <t>Мамлекеттик сатып алууга окутуу үчүн кошумча</t>
  </si>
  <si>
    <t>Орун басарынын штаттык бирдигинен үнөмдөлгөн каражат</t>
  </si>
  <si>
    <t>Маданият сарайы</t>
  </si>
  <si>
    <t>Камсыздандыруудан иштетилбей калган каражат</t>
  </si>
  <si>
    <t>Компенсациядан үнөмдөлгөн каражат</t>
  </si>
  <si>
    <t>2215 эфир кызматынан 2215 компьютерлерди оңдоо кызматына жылдыруу</t>
  </si>
  <si>
    <t>Түнөк үйүнө керектелүүчү жабдуулар</t>
  </si>
  <si>
    <t>Таштанды алып чыгуу, мүлктөн үнөмдөлгөн каражат</t>
  </si>
  <si>
    <t>Жалал-Абад Тазалык</t>
  </si>
  <si>
    <t>Соц.фонд</t>
  </si>
  <si>
    <t>1С кызмат акысы</t>
  </si>
  <si>
    <t>Скай Хол кафесинин сүрдүрүү иштерине</t>
  </si>
  <si>
    <t>Кызматкерлерди окутууга</t>
  </si>
  <si>
    <t>№19 Конгуроочо бала бакчасына жел чыгаруучу крайниктерди орнотууга</t>
  </si>
  <si>
    <t>КР Президентинин жарлыгынын негизинде, жетекчилик штаттык бирдиктердин эмгек акысына</t>
  </si>
  <si>
    <t>Күйүүчү май - тендерден үнөмдөө</t>
  </si>
  <si>
    <t>Стелла оңдоого</t>
  </si>
  <si>
    <t>Шаар көчөлөрүнө лоток орнотууга кошумча каражат</t>
  </si>
  <si>
    <t>Жаңы курулган оорукананын айланасын жакшыртууга</t>
  </si>
  <si>
    <t>Жаңы курулган ооруканага котельный курууга</t>
  </si>
  <si>
    <t xml:space="preserve">Интернет кызматына </t>
  </si>
  <si>
    <t xml:space="preserve">Электр энергия үчүн </t>
  </si>
  <si>
    <t>Жалал-Абад шаарынын 2023-жылга шаардык кенешке сунушталган долбооруна өзгөртүүлөр тизмеси</t>
  </si>
  <si>
    <t>Жалпы</t>
  </si>
  <si>
    <t>Мекеменин аталышы</t>
  </si>
  <si>
    <t>3111 беренесинен (имаратты оңдоп түзөөдөн) - 29,1 миң сомду 
2222 беренесине (чарбалык буюмдарды алууга) жылдыруу</t>
  </si>
  <si>
    <t>Чек аппарат алууга</t>
  </si>
  <si>
    <t>2214 беренесинен (күйүүчү май) - 20,0 миң сом, 2222 беренесинен (чарбалык буюмдарды алуу) - 50,0 миң сомду 
3112 беренесине жылдыруу (кондиционер, эмерек алууга)</t>
  </si>
  <si>
    <t>Электро автобустарды алуу үчүн кошумча каражат</t>
  </si>
  <si>
    <t>Ар түрдү чыгашалар (резерв)</t>
  </si>
  <si>
    <t>Электр трансформатор-1193,7;   Кондиционер-30,0</t>
  </si>
  <si>
    <t xml:space="preserve">Курулмаларды жаңылоо долбоорун даярдоо, топо съемка жасатуу үчүн </t>
  </si>
  <si>
    <t>Тузга каралган акча каражатынын эсебинен (Бүгүнкү күндөгү 2200,0 калдыгынын эсебинен)</t>
  </si>
  <si>
    <t>Кумга (Тузга каралган акча каражатынын эсебинен)</t>
  </si>
  <si>
    <t>Чарбалык буюмдарга</t>
  </si>
  <si>
    <t>№36 бала бакчага жаңы группа ачууга (чарбалык буюмдар)</t>
  </si>
  <si>
    <t>№36 бала бакчага жаңы группа ачууга (эмеректер)</t>
  </si>
  <si>
    <t>Суу үчүн төлөм</t>
  </si>
  <si>
    <t>Жалпы кирешелер жана атайын төлөмдөр</t>
  </si>
  <si>
    <t>Республикалык бюджеттен тушуучу каражат (максаттуу трансферттер)</t>
  </si>
  <si>
    <t>Атайын төлөмдөрдөн түшүүчү кирешелердин жыйынтыгы</t>
  </si>
  <si>
    <t>Учурдагы жардам</t>
  </si>
  <si>
    <t>Кызмат көрсөтүүнүн башка классификацияланбаган түрлөрү үчүн акы</t>
  </si>
  <si>
    <t xml:space="preserve">Маалымат берүү жана басып чыгаруу  боюнча классификацияланбаган кызмат көрсөтүүлөр акысы </t>
  </si>
  <si>
    <t>Классификацияланбаган билим берүү жана маданият кызмат көрсөт. үчүн акы</t>
  </si>
  <si>
    <t>Мектепке чейинки жана мектеп мекемелерине кошумча кызмат көрсөтүү акысы</t>
  </si>
  <si>
    <t>Атайын төлөмдөрдөн түшүүчү кирешелер</t>
  </si>
  <si>
    <t xml:space="preserve">Жалпы салык жана салык эмес  кирешелер </t>
  </si>
  <si>
    <t>Шаардык мэрия, муниципалдык МБК жана керек-жарак департаменти аркылуу чогултулган жыйымдар жана толомдор</t>
  </si>
  <si>
    <t>Башка транспорт каражаттарын сатуу</t>
  </si>
  <si>
    <t>Жук ташуучу машиналарды сатуу</t>
  </si>
  <si>
    <t>Башка имараттарды сатуу</t>
  </si>
  <si>
    <t>Институционалдык имаратарды сатуу</t>
  </si>
  <si>
    <t>Жеңил автомобилдерди сатуу</t>
  </si>
  <si>
    <t>Айыптар</t>
  </si>
  <si>
    <t>Жер казынасын пайдалануу укугуна лицензияны кармоо үчүн акы</t>
  </si>
  <si>
    <t>Мамлекеттин пайдасына айлантылган кирешелер</t>
  </si>
  <si>
    <t>Экономикалык кылмыштар боюнча келтирилген зыяндын ордун толтуруу</t>
  </si>
  <si>
    <t>Контролдук-көзөмөл чараларын жүргүзүүдөн түшүүлөр</t>
  </si>
  <si>
    <r>
      <t>Дагы башка төлөмдөр</t>
    </r>
    <r>
      <rPr>
        <sz val="9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(Сертификаттарды жана башка уруксат беруучу документтердин акысы)</t>
    </r>
  </si>
  <si>
    <t>Автотранспортту парковкалоо жана автотоктотмо үчүн жыйымдар</t>
  </si>
  <si>
    <t>Муниципалдык менчикте турган жайлардын, имараттардын, курулмалардын, жабдуулардын жана техникалардын ижара акысы</t>
  </si>
  <si>
    <t>Айыл чарбасына жарактуу жерлердин мамлекеттик фондунун жерлерин иштетүү үчүн ижара акысы (ФПЗ)</t>
  </si>
  <si>
    <t>Жайыт жерлерди пайдалануу үчүн жыйым</t>
  </si>
  <si>
    <t>Жаны муниципалдык базар</t>
  </si>
  <si>
    <t>Курулуш базарынан тушуучу киреше</t>
  </si>
  <si>
    <t>Шаардык керек-жарак рыногу жана кызмат корсотуу департаменти</t>
  </si>
  <si>
    <t xml:space="preserve">Шаардык муниципалдык менчик башкармалыгы </t>
  </si>
  <si>
    <t>Калктуу конуштарда жер ижарасы үчүн акы, анын ичинен:</t>
  </si>
  <si>
    <t>Салык кызматтары аркылуу чогултулган киреше</t>
  </si>
  <si>
    <t>Бекитилген кирешелердин жыйынтыгы</t>
  </si>
  <si>
    <t>Жергиликтуу бюджеттин башка жана болок салыктары</t>
  </si>
  <si>
    <t>Алкоголдук продукцияны сатууга лицензия алган субъекттерден этил спирттин жана алкоголдук продукцияны өндүрүү жана жүгүртүү боюнча ишти ишке ашыруу үчүн жыйым</t>
  </si>
  <si>
    <t>Калктуу пункттардын таштандысын чыгаруу үчүн жыйым</t>
  </si>
  <si>
    <t>Калктуу конуштардын жерлерине жана айыл чарба багытында болбогон жерлерге мүлк салыгы</t>
  </si>
  <si>
    <t>Айыл чарба жерлерине тиешелүү жерлерге мүлк салыгы</t>
  </si>
  <si>
    <t>Жанаша, короо жай жана багбанчылык-огород жер участокторуна мүлк салыгы</t>
  </si>
  <si>
    <t>Кыймылдуу мүлккө салык (транспорттук каражаттарга)</t>
  </si>
  <si>
    <t>3-топтогу ишкердик иши үчүн пайдаланылган кыймылсыз мүлккө салык</t>
  </si>
  <si>
    <t>Турак жай эмес имаратка жана жайга мүлк салыгы</t>
  </si>
  <si>
    <t>Турак жайга же жайга мүлк салыгы</t>
  </si>
  <si>
    <t>Жалпы мамлекеттик салыктардын жыйынтыгы</t>
  </si>
  <si>
    <t>Роялти</t>
  </si>
  <si>
    <t>Чакан ишкердик субьекттери үчүн бирдиктүү салык</t>
  </si>
  <si>
    <t>Патенттин негизинде салык</t>
  </si>
  <si>
    <t>Ыктыярдуу патенттин негизинде салык</t>
  </si>
  <si>
    <t>Милдеттүү патенттин негизинде салык</t>
  </si>
  <si>
    <t>Кыргыз Республикасынын резиденттери-жеке жактардан алынуучу киреше салыгы</t>
  </si>
  <si>
    <t xml:space="preserve">2025-жылга божомол </t>
  </si>
  <si>
    <t xml:space="preserve">2024-жылга божомол </t>
  </si>
  <si>
    <t>Айрыма</t>
  </si>
  <si>
    <t>2023-жылга такталган план 2-өзгөртүү .</t>
  </si>
  <si>
    <t>2023-жылга такталган план 01.06.2023-ж</t>
  </si>
  <si>
    <t>2023-жылга  бекитилген план</t>
  </si>
  <si>
    <t>2023-жылга КР ФМги тарабынан сунушталган</t>
  </si>
  <si>
    <t>2022-жылга факт</t>
  </si>
  <si>
    <t>2022-жылга ФМ тарабынан такталган план</t>
  </si>
  <si>
    <t>2022-жылга такталган план</t>
  </si>
  <si>
    <t>2022-жылга бекитилген план</t>
  </si>
  <si>
    <t>2021-жылга факт</t>
  </si>
  <si>
    <t>2021-жылга такталган план</t>
  </si>
  <si>
    <t>2021-жылга бекитилген план</t>
  </si>
  <si>
    <t>2020-жылга факт</t>
  </si>
  <si>
    <t>2020-жылга бекитилген план</t>
  </si>
  <si>
    <t xml:space="preserve">Киреше  булактарынын аттары. </t>
  </si>
  <si>
    <t>Элемент
(8)</t>
  </si>
  <si>
    <t>2023-жылга  Жалал-Абад  шаарынын  шаардык бюджетинин кирешелер боюнча долбоору жана 2024-2025 жылдарга божомолу</t>
  </si>
  <si>
    <t xml:space="preserve"> </t>
  </si>
  <si>
    <t>Трансферттер</t>
  </si>
  <si>
    <t>Спринтер автоунаасын алууга каралган каражат</t>
  </si>
  <si>
    <t>Спонсордук жардам</t>
  </si>
  <si>
    <t>Түшпөй калган кирешелердин эсебинен толуктоо</t>
  </si>
  <si>
    <t>Көмүр сатып алууга</t>
  </si>
  <si>
    <t>Транспорттук чыгымдар</t>
  </si>
  <si>
    <t>АБЗна май алууга</t>
  </si>
  <si>
    <t>Муниципалдык базардын чатырын оңдоого</t>
  </si>
  <si>
    <t>Жалал-Абад шаарынын флагшток жана стелланын жумуштарын аягына чыгарууга кошумча каражат</t>
  </si>
  <si>
    <t>Сапар чыгымдары</t>
  </si>
  <si>
    <t>Экономия/ кошумча киреше булактары</t>
  </si>
  <si>
    <t>Киреше бөлүгү</t>
  </si>
  <si>
    <t>Киреше планына кошумча каражат</t>
  </si>
  <si>
    <t>Эмгек акы (Түшпөй калган кирешелердин эсебинен кыскартуу)</t>
  </si>
  <si>
    <t>Социалдык фондко чегерүү (Түшпөй калган кирешелердин эсебинен кыскартуу)</t>
  </si>
  <si>
    <t>Кирешелердин жоготууларын ордун толуктоо үчүн репсубликалык бюджеттен келген каражат</t>
  </si>
  <si>
    <t>Насыя (кредит) кайтарууга (шаарда аткарылган иштердин ордун толуктоого)</t>
  </si>
  <si>
    <t>Күйүүчү майга (январь айына 2024 жылга)</t>
  </si>
  <si>
    <t>Эмгек акы</t>
  </si>
  <si>
    <t>Желек алууга (флагшток)</t>
  </si>
  <si>
    <t>Т.Тайгараев а/б жайгашкан турак жай имаратарын жакшыртуу жана инженердик тармактар үчүн</t>
  </si>
  <si>
    <t xml:space="preserve">Киреше планына кошумча </t>
  </si>
  <si>
    <t>Электроэнергия кошумча</t>
  </si>
  <si>
    <t>Балдардын ден-солугун чыңдоочу комплекс (ДОЦ Ариет) саркынды орнотуу</t>
  </si>
  <si>
    <t>Курманбек стадионуна ажаткана курууга кошумча</t>
  </si>
  <si>
    <t>Шаар күнү өткөрүү иш чарасы</t>
  </si>
  <si>
    <t>Можжевельник кому менен 2 метр (150 даана)</t>
  </si>
  <si>
    <t>Шаардын ардактуу атуулу наамы бар жарандарга материалдык жардам (6 кишиге 1000 сомдон)</t>
  </si>
  <si>
    <t>Каштан жылдыруу (жылдын башындагы 1968 мин  сом эсебинен)</t>
  </si>
  <si>
    <t>Баннер жасатууга кошумча</t>
  </si>
  <si>
    <t>Эркиндик көчөсүнө көк арча отургузууга (20 даана)</t>
  </si>
  <si>
    <t>Ар түрдү чыгымдарга; Салык-чек лотореясын өткөрүүгө каражат - 100,0</t>
  </si>
  <si>
    <t>КР Президентинин жарлыгынын негизинде жоопту катчысы эмгек акысына кошумча</t>
  </si>
  <si>
    <t>Дача суу түтүгүн тартууга каралган каражатты кыскартуу</t>
  </si>
  <si>
    <t>Парковая көчөсүнө шагыл/щебень төгүү үчүн</t>
  </si>
  <si>
    <t xml:space="preserve">Актилек конушуна суу түтүктөрүн тартуу </t>
  </si>
  <si>
    <t>Автоунаа тетиктерине кошумча</t>
  </si>
  <si>
    <t xml:space="preserve">Автоунаа тетиктерине кошумча </t>
  </si>
  <si>
    <t>№12 бала бакчага от казандарын жанылоого</t>
  </si>
  <si>
    <t>Бош турган имараттарга кошумча кароолчу штаттык бирдигине (6 штат) 3 айга</t>
  </si>
  <si>
    <t>Жатакананын электр монтажын жасоого</t>
  </si>
  <si>
    <t>Дене тарбия жана спорт бөлүмү</t>
  </si>
  <si>
    <t>Спортчуларды сыйлоого</t>
  </si>
  <si>
    <t>Спорттук иш чараларды өткөрүүгө/турнирлерине катышууга</t>
  </si>
  <si>
    <t>Кошумча суралган/бкирешенин жоготуусу</t>
  </si>
  <si>
    <t>Балтагулова көчөсүн жарыктандырууга</t>
  </si>
  <si>
    <t>Кварталдык комитеттерге (4*5000 сомдон 3 айга)</t>
  </si>
  <si>
    <t>Шаардык   кеңештин</t>
  </si>
  <si>
    <t>Кызматтын аталышы</t>
  </si>
  <si>
    <t>Бирдиктердин саны</t>
  </si>
  <si>
    <t>Базалык ставка</t>
  </si>
  <si>
    <t xml:space="preserve">Коэффициент </t>
  </si>
  <si>
    <t>Кызматтык маяна</t>
  </si>
  <si>
    <t>Үстөктөр жана кошумча акылар</t>
  </si>
  <si>
    <t>Бир айлык эмгек акы 
(бир кишиге)</t>
  </si>
  <si>
    <t xml:space="preserve">Жалпы бир айлык эмгек акы 
</t>
  </si>
  <si>
    <t>Эмгек өргү</t>
  </si>
  <si>
    <t>2 эмгек өргүүгө каралган даарылануучу жөлөк пул</t>
  </si>
  <si>
    <t>Премиялар</t>
  </si>
  <si>
    <t>13 эмгек акы</t>
  </si>
  <si>
    <t>Жол жана тамак аш чыгымдары</t>
  </si>
  <si>
    <t xml:space="preserve">Эмгек акы жылдык фонду </t>
  </si>
  <si>
    <t xml:space="preserve">Социалдык фондко төлөөгө </t>
  </si>
  <si>
    <t xml:space="preserve">Эмгек акы төлөмдөрүнүн жылдык фонду </t>
  </si>
  <si>
    <t>Эмгек стаж (мамлекеттик /муницип. ж.б стаж)</t>
  </si>
  <si>
    <t>Класстык чин</t>
  </si>
  <si>
    <t>Иштин жашырын мунозу учун кошумча устоктор, 25%</t>
  </si>
  <si>
    <t>Жумуштун оордугуна кошумча төлөм,  25% (мэрия, кенеш), 10%  (структуралык мекемелер)</t>
  </si>
  <si>
    <t>Шаардык кенештен кошулган үстөктөр</t>
  </si>
  <si>
    <t>КР Өкмөтү тарабынан кошулуучу бөлөк үстөктөр</t>
  </si>
  <si>
    <t>%</t>
  </si>
  <si>
    <t>сумма</t>
  </si>
  <si>
    <t>Жалпы жоопту кызматкерлер</t>
  </si>
  <si>
    <t>17.10.2023-жылдагы</t>
  </si>
  <si>
    <t>Муниципалдык менчик башкармалыгынын бош турган имараттарына кошумча кароолчу штаттык бирдигине 2023-жылдын 1-октябрынан төлөнүүчү эмгек акы</t>
  </si>
  <si>
    <t>Бош турган имараттарга күзөтчү</t>
  </si>
  <si>
    <t>№  3 - тиркеме</t>
  </si>
  <si>
    <t>№ 2 - тиркеме</t>
  </si>
  <si>
    <t>№1 - тиркеме</t>
  </si>
  <si>
    <t>Шаардык кеңештин жоопту катчысы</t>
  </si>
  <si>
    <t>О. Эшенкулов</t>
  </si>
  <si>
    <t xml:space="preserve">Киреше планына кыскартуу/чыгаша бөлүгүнүн ордун толуктоого </t>
  </si>
  <si>
    <t>Шаардык кенештин жооптуу катчысы                                                    О. Эшенкулов</t>
  </si>
  <si>
    <t>№ 4 - тиркеме</t>
  </si>
  <si>
    <t>Көмүр алууга</t>
  </si>
  <si>
    <t>Кышкы атайын кийим алууга</t>
  </si>
  <si>
    <t>Кондиционер алууга</t>
  </si>
  <si>
    <t>XXXIII сессиясынын</t>
  </si>
  <si>
    <t>№1 токтомуна</t>
  </si>
  <si>
    <t>Дем берүүчү грантка кошумча каражат (технадзордун акысы)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</si>
</sst>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0.0"/>
    <numFmt numFmtId="166" formatCode="#,##0.0"/>
    <numFmt numFmtId="167" formatCode="_-* #,##0.0_р_._-;\-* #,##0.0_р_._-;_-* &quot;-&quot;??_р_._-;_-@_-"/>
  </numFmts>
  <fonts count="39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 CE"/>
      <charset val="204"/>
    </font>
    <font>
      <b/>
      <sz val="10"/>
      <name val="Times New Roman CE"/>
      <family val="1"/>
      <charset val="238"/>
    </font>
    <font>
      <sz val="10"/>
      <color indexed="8"/>
      <name val="Times New Roman"/>
      <family val="1"/>
      <charset val="204"/>
    </font>
    <font>
      <sz val="10"/>
      <name val="Times New Roman CE"/>
      <family val="1"/>
      <charset val="238"/>
    </font>
    <font>
      <b/>
      <i/>
      <sz val="10"/>
      <name val="Times New Roman"/>
      <family val="1"/>
      <charset val="204"/>
    </font>
    <font>
      <b/>
      <sz val="10"/>
      <color theme="1"/>
      <name val="Times New Roman CE"/>
      <charset val="204"/>
    </font>
    <font>
      <sz val="10"/>
      <name val="Times New Roman CE"/>
      <charset val="204"/>
    </font>
    <font>
      <sz val="10"/>
      <color theme="1"/>
      <name val="Times New Roman CE"/>
      <family val="1"/>
      <charset val="238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 CE"/>
      <charset val="204"/>
    </font>
    <font>
      <i/>
      <sz val="10"/>
      <name val="Times New Roman CE"/>
      <charset val="204"/>
    </font>
    <font>
      <i/>
      <sz val="10"/>
      <color theme="1"/>
      <name val="Times New Roman CE"/>
      <charset val="204"/>
    </font>
    <font>
      <i/>
      <sz val="10"/>
      <name val="Times New Roman"/>
      <family val="1"/>
      <charset val="204"/>
    </font>
    <font>
      <b/>
      <i/>
      <sz val="10"/>
      <name val="Times New Roman CE"/>
      <family val="1"/>
      <charset val="238"/>
    </font>
    <font>
      <b/>
      <i/>
      <sz val="10"/>
      <color theme="1"/>
      <name val="Times New Roman CE"/>
      <family val="1"/>
      <charset val="238"/>
    </font>
    <font>
      <b/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 CE"/>
      <family val="1"/>
      <charset val="238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9" fontId="30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13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vertical="center"/>
    </xf>
    <xf numFmtId="165" fontId="3" fillId="0" borderId="3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horizontal="right"/>
    </xf>
    <xf numFmtId="165" fontId="3" fillId="2" borderId="2" xfId="0" applyNumberFormat="1" applyFont="1" applyFill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5" fontId="3" fillId="2" borderId="3" xfId="0" applyNumberFormat="1" applyFont="1" applyFill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165" fontId="3" fillId="0" borderId="2" xfId="0" applyNumberFormat="1" applyFont="1" applyFill="1" applyBorder="1" applyAlignment="1">
      <alignment vertical="center"/>
    </xf>
    <xf numFmtId="165" fontId="3" fillId="0" borderId="4" xfId="0" applyNumberFormat="1" applyFont="1" applyBorder="1" applyAlignment="1">
      <alignment vertical="center"/>
    </xf>
    <xf numFmtId="165" fontId="3" fillId="0" borderId="4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/>
    </xf>
    <xf numFmtId="0" fontId="0" fillId="0" borderId="2" xfId="0" applyBorder="1"/>
    <xf numFmtId="165" fontId="2" fillId="2" borderId="2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65" fontId="3" fillId="2" borderId="2" xfId="0" applyNumberFormat="1" applyFont="1" applyFill="1" applyBorder="1" applyAlignment="1">
      <alignment horizontal="right" vertical="center"/>
    </xf>
    <xf numFmtId="165" fontId="0" fillId="0" borderId="0" xfId="0" applyNumberFormat="1"/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6" fillId="0" borderId="0" xfId="1" applyFont="1" applyFill="1"/>
    <xf numFmtId="166" fontId="6" fillId="0" borderId="0" xfId="1" applyNumberFormat="1" applyFont="1" applyFill="1"/>
    <xf numFmtId="166" fontId="7" fillId="0" borderId="2" xfId="1" applyNumberFormat="1" applyFont="1" applyBorder="1"/>
    <xf numFmtId="166" fontId="8" fillId="0" borderId="2" xfId="2" applyNumberFormat="1" applyFont="1" applyFill="1" applyBorder="1"/>
    <xf numFmtId="166" fontId="7" fillId="0" borderId="2" xfId="1" applyNumberFormat="1" applyFont="1" applyFill="1" applyBorder="1"/>
    <xf numFmtId="0" fontId="9" fillId="0" borderId="2" xfId="2" applyFont="1" applyBorder="1" applyAlignment="1">
      <alignment horizontal="center"/>
    </xf>
    <xf numFmtId="0" fontId="6" fillId="0" borderId="2" xfId="1" applyFont="1" applyBorder="1"/>
    <xf numFmtId="0" fontId="10" fillId="0" borderId="2" xfId="2" applyFont="1" applyBorder="1"/>
    <xf numFmtId="166" fontId="6" fillId="0" borderId="2" xfId="1" applyNumberFormat="1" applyFont="1" applyBorder="1"/>
    <xf numFmtId="166" fontId="6" fillId="0" borderId="2" xfId="1" applyNumberFormat="1" applyFont="1" applyFill="1" applyBorder="1"/>
    <xf numFmtId="0" fontId="3" fillId="0" borderId="2" xfId="2" applyFont="1" applyBorder="1"/>
    <xf numFmtId="0" fontId="11" fillId="0" borderId="2" xfId="2" applyFont="1" applyBorder="1"/>
    <xf numFmtId="0" fontId="2" fillId="0" borderId="2" xfId="2" applyFont="1" applyBorder="1"/>
    <xf numFmtId="166" fontId="3" fillId="0" borderId="2" xfId="2" applyNumberFormat="1" applyFont="1" applyBorder="1"/>
    <xf numFmtId="166" fontId="11" fillId="0" borderId="2" xfId="2" applyNumberFormat="1" applyFont="1" applyFill="1" applyBorder="1"/>
    <xf numFmtId="166" fontId="3" fillId="0" borderId="2" xfId="2" applyNumberFormat="1" applyFont="1" applyFill="1" applyBorder="1"/>
    <xf numFmtId="166" fontId="6" fillId="0" borderId="2" xfId="2" applyNumberFormat="1" applyFont="1" applyBorder="1"/>
    <xf numFmtId="0" fontId="3" fillId="0" borderId="2" xfId="2" applyFont="1" applyBorder="1" applyAlignment="1">
      <alignment wrapText="1"/>
    </xf>
    <xf numFmtId="0" fontId="12" fillId="0" borderId="2" xfId="2" applyFont="1" applyBorder="1"/>
    <xf numFmtId="166" fontId="8" fillId="0" borderId="2" xfId="2" applyNumberFormat="1" applyFont="1" applyBorder="1"/>
    <xf numFmtId="166" fontId="8" fillId="0" borderId="6" xfId="2" applyNumberFormat="1" applyFont="1" applyBorder="1"/>
    <xf numFmtId="166" fontId="13" fillId="0" borderId="2" xfId="2" applyNumberFormat="1" applyFont="1" applyBorder="1"/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wrapText="1"/>
    </xf>
    <xf numFmtId="166" fontId="14" fillId="0" borderId="2" xfId="2" applyNumberFormat="1" applyFont="1" applyBorder="1" applyAlignment="1">
      <alignment horizontal="center"/>
    </xf>
    <xf numFmtId="166" fontId="11" fillId="0" borderId="2" xfId="2" applyNumberFormat="1" applyFont="1" applyBorder="1"/>
    <xf numFmtId="166" fontId="15" fillId="0" borderId="2" xfId="2" applyNumberFormat="1" applyFont="1" applyBorder="1"/>
    <xf numFmtId="0" fontId="11" fillId="0" borderId="2" xfId="2" applyFont="1" applyBorder="1" applyAlignment="1">
      <alignment horizontal="left" vertical="center"/>
    </xf>
    <xf numFmtId="0" fontId="10" fillId="0" borderId="2" xfId="2" applyFont="1" applyBorder="1" applyAlignment="1">
      <alignment vertical="center"/>
    </xf>
    <xf numFmtId="0" fontId="14" fillId="0" borderId="2" xfId="2" applyFont="1" applyBorder="1" applyAlignment="1">
      <alignment horizontal="left" vertical="center"/>
    </xf>
    <xf numFmtId="166" fontId="16" fillId="0" borderId="2" xfId="3" applyNumberFormat="1" applyFont="1" applyBorder="1" applyAlignment="1">
      <alignment horizontal="right" wrapText="1"/>
    </xf>
    <xf numFmtId="0" fontId="10" fillId="0" borderId="2" xfId="3" applyFont="1" applyBorder="1" applyAlignment="1">
      <alignment wrapText="1"/>
    </xf>
    <xf numFmtId="0" fontId="10" fillId="0" borderId="2" xfId="3" applyFont="1" applyBorder="1"/>
    <xf numFmtId="0" fontId="14" fillId="0" borderId="2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1" fontId="11" fillId="0" borderId="2" xfId="2" applyNumberFormat="1" applyFont="1" applyBorder="1"/>
    <xf numFmtId="166" fontId="14" fillId="0" borderId="2" xfId="2" applyNumberFormat="1" applyFont="1" applyBorder="1"/>
    <xf numFmtId="166" fontId="14" fillId="0" borderId="2" xfId="2" applyNumberFormat="1" applyFont="1" applyFill="1" applyBorder="1"/>
    <xf numFmtId="166" fontId="19" fillId="0" borderId="2" xfId="2" applyNumberFormat="1" applyFont="1" applyBorder="1"/>
    <xf numFmtId="166" fontId="20" fillId="0" borderId="2" xfId="2" applyNumberFormat="1" applyFont="1" applyBorder="1"/>
    <xf numFmtId="166" fontId="20" fillId="0" borderId="2" xfId="2" applyNumberFormat="1" applyFont="1" applyFill="1" applyBorder="1"/>
    <xf numFmtId="166" fontId="21" fillId="0" borderId="2" xfId="2" applyNumberFormat="1" applyFont="1" applyBorder="1"/>
    <xf numFmtId="166" fontId="22" fillId="0" borderId="2" xfId="2" applyNumberFormat="1" applyFont="1" applyBorder="1"/>
    <xf numFmtId="0" fontId="22" fillId="0" borderId="2" xfId="2" applyFont="1" applyBorder="1"/>
    <xf numFmtId="165" fontId="6" fillId="0" borderId="2" xfId="1" applyNumberFormat="1" applyFont="1" applyBorder="1"/>
    <xf numFmtId="166" fontId="23" fillId="0" borderId="2" xfId="2" applyNumberFormat="1" applyFont="1" applyBorder="1"/>
    <xf numFmtId="166" fontId="23" fillId="0" borderId="2" xfId="2" applyNumberFormat="1" applyFont="1" applyFill="1" applyBorder="1"/>
    <xf numFmtId="166" fontId="24" fillId="0" borderId="2" xfId="2" applyNumberFormat="1" applyFont="1" applyBorder="1"/>
    <xf numFmtId="166" fontId="12" fillId="0" borderId="2" xfId="2" applyNumberFormat="1" applyFont="1" applyBorder="1"/>
    <xf numFmtId="0" fontId="12" fillId="0" borderId="2" xfId="2" applyFont="1" applyBorder="1" applyAlignment="1">
      <alignment horizontal="center" wrapText="1"/>
    </xf>
    <xf numFmtId="166" fontId="12" fillId="0" borderId="2" xfId="2" applyNumberFormat="1" applyFont="1" applyFill="1" applyBorder="1"/>
    <xf numFmtId="0" fontId="12" fillId="0" borderId="2" xfId="2" applyFont="1" applyBorder="1" applyAlignment="1">
      <alignment horizontal="center"/>
    </xf>
    <xf numFmtId="0" fontId="25" fillId="0" borderId="2" xfId="2" applyFont="1" applyBorder="1"/>
    <xf numFmtId="166" fontId="15" fillId="0" borderId="2" xfId="2" applyNumberFormat="1" applyFont="1" applyFill="1" applyBorder="1"/>
    <xf numFmtId="0" fontId="6" fillId="0" borderId="0" xfId="1" applyFont="1"/>
    <xf numFmtId="0" fontId="3" fillId="0" borderId="2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center" wrapText="1"/>
    </xf>
    <xf numFmtId="0" fontId="3" fillId="0" borderId="2" xfId="2" applyFont="1" applyBorder="1" applyAlignment="1">
      <alignment horizontal="center"/>
    </xf>
    <xf numFmtId="0" fontId="3" fillId="0" borderId="2" xfId="2" applyFont="1" applyFill="1" applyBorder="1" applyAlignment="1">
      <alignment horizontal="center" wrapText="1"/>
    </xf>
    <xf numFmtId="0" fontId="6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0" xfId="2" applyFont="1" applyAlignment="1">
      <alignment horizontal="right"/>
    </xf>
    <xf numFmtId="0" fontId="3" fillId="0" borderId="0" xfId="2" applyFont="1" applyFill="1" applyAlignment="1">
      <alignment horizontal="right"/>
    </xf>
    <xf numFmtId="0" fontId="11" fillId="0" borderId="0" xfId="1" applyFont="1" applyFill="1" applyAlignment="1">
      <alignment horizontal="right"/>
    </xf>
    <xf numFmtId="0" fontId="3" fillId="0" borderId="0" xfId="2" applyFont="1" applyFill="1"/>
    <xf numFmtId="0" fontId="17" fillId="0" borderId="2" xfId="2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165" fontId="3" fillId="0" borderId="3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6" fillId="2" borderId="0" xfId="1" applyFont="1" applyFill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1" fillId="0" borderId="0" xfId="0" applyFont="1"/>
    <xf numFmtId="0" fontId="32" fillId="0" borderId="0" xfId="0" applyFont="1"/>
    <xf numFmtId="0" fontId="33" fillId="0" borderId="0" xfId="0" applyFont="1" applyAlignment="1">
      <alignment horizontal="right"/>
    </xf>
    <xf numFmtId="3" fontId="33" fillId="0" borderId="0" xfId="0" applyNumberFormat="1" applyFont="1" applyAlignment="1">
      <alignment horizontal="right"/>
    </xf>
    <xf numFmtId="3" fontId="34" fillId="0" borderId="0" xfId="0" applyNumberFormat="1" applyFont="1" applyAlignment="1">
      <alignment horizontal="right"/>
    </xf>
    <xf numFmtId="0" fontId="35" fillId="0" borderId="2" xfId="3" applyFont="1" applyBorder="1" applyAlignment="1">
      <alignment horizontal="center" vertical="center" textRotation="90" wrapText="1"/>
    </xf>
    <xf numFmtId="0" fontId="35" fillId="0" borderId="2" xfId="3" applyFont="1" applyBorder="1" applyAlignment="1">
      <alignment horizontal="center" vertical="center" wrapText="1"/>
    </xf>
    <xf numFmtId="0" fontId="34" fillId="0" borderId="2" xfId="4" applyFont="1" applyBorder="1" applyAlignment="1">
      <alignment horizontal="center" vertical="center" wrapText="1"/>
    </xf>
    <xf numFmtId="1" fontId="34" fillId="0" borderId="2" xfId="4" applyNumberFormat="1" applyFont="1" applyBorder="1" applyAlignment="1">
      <alignment horizontal="center" vertical="center" wrapText="1"/>
    </xf>
    <xf numFmtId="1" fontId="34" fillId="0" borderId="2" xfId="4" applyNumberFormat="1" applyFont="1" applyBorder="1" applyAlignment="1">
      <alignment horizontal="center" vertical="center" wrapText="1" shrinkToFit="1"/>
    </xf>
    <xf numFmtId="1" fontId="32" fillId="0" borderId="0" xfId="0" applyNumberFormat="1" applyFont="1"/>
    <xf numFmtId="1" fontId="35" fillId="0" borderId="2" xfId="3" applyNumberFormat="1" applyFont="1" applyBorder="1" applyAlignment="1">
      <alignment horizontal="center" vertical="center" wrapText="1"/>
    </xf>
    <xf numFmtId="0" fontId="35" fillId="0" borderId="0" xfId="3" applyFont="1" applyBorder="1" applyAlignment="1">
      <alignment horizontal="center" vertical="center" wrapText="1"/>
    </xf>
    <xf numFmtId="1" fontId="35" fillId="0" borderId="0" xfId="3" applyNumberFormat="1" applyFont="1" applyBorder="1" applyAlignment="1">
      <alignment horizontal="center" vertical="center" wrapText="1"/>
    </xf>
    <xf numFmtId="3" fontId="35" fillId="0" borderId="0" xfId="3" applyNumberFormat="1" applyFont="1" applyBorder="1" applyAlignment="1">
      <alignment horizontal="center" vertical="center" wrapText="1"/>
    </xf>
    <xf numFmtId="165" fontId="32" fillId="0" borderId="0" xfId="0" applyNumberFormat="1" applyFont="1"/>
    <xf numFmtId="0" fontId="35" fillId="0" borderId="0" xfId="2" applyFont="1"/>
    <xf numFmtId="165" fontId="37" fillId="0" borderId="0" xfId="0" applyNumberFormat="1" applyFont="1"/>
    <xf numFmtId="9" fontId="34" fillId="0" borderId="2" xfId="8" applyFont="1" applyFill="1" applyBorder="1" applyAlignment="1">
      <alignment horizontal="center" vertical="center" wrapText="1"/>
    </xf>
    <xf numFmtId="3" fontId="35" fillId="0" borderId="2" xfId="3" applyNumberFormat="1" applyFont="1" applyBorder="1" applyAlignment="1">
      <alignment horizontal="center" vertical="center" wrapText="1"/>
    </xf>
    <xf numFmtId="0" fontId="34" fillId="0" borderId="2" xfId="3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167" fontId="34" fillId="0" borderId="2" xfId="9" applyNumberFormat="1" applyFont="1" applyFill="1" applyBorder="1" applyAlignment="1">
      <alignment horizontal="center" vertical="center" wrapText="1"/>
    </xf>
    <xf numFmtId="1" fontId="34" fillId="0" borderId="2" xfId="3" applyNumberFormat="1" applyFont="1" applyBorder="1" applyAlignment="1">
      <alignment horizontal="center" vertical="center" wrapText="1"/>
    </xf>
    <xf numFmtId="1" fontId="31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7" fillId="0" borderId="0" xfId="1" applyFont="1" applyFill="1"/>
    <xf numFmtId="0" fontId="38" fillId="0" borderId="0" xfId="1" applyFont="1" applyFill="1"/>
    <xf numFmtId="166" fontId="38" fillId="0" borderId="0" xfId="1" applyNumberFormat="1" applyFont="1" applyFill="1"/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2" fillId="0" borderId="0" xfId="2" applyFont="1" applyAlignment="1">
      <alignment horizontal="center" wrapText="1"/>
    </xf>
    <xf numFmtId="0" fontId="3" fillId="0" borderId="2" xfId="2" applyFont="1" applyBorder="1" applyAlignment="1">
      <alignment horizontal="center"/>
    </xf>
    <xf numFmtId="0" fontId="6" fillId="0" borderId="2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 vertical="center"/>
    </xf>
    <xf numFmtId="0" fontId="35" fillId="0" borderId="4" xfId="3" applyFont="1" applyBorder="1" applyAlignment="1">
      <alignment horizontal="center" vertical="center" textRotation="90" wrapText="1"/>
    </xf>
    <xf numFmtId="0" fontId="35" fillId="0" borderId="3" xfId="3" applyFont="1" applyBorder="1" applyAlignment="1">
      <alignment horizontal="center" vertical="center" textRotation="90" wrapText="1"/>
    </xf>
    <xf numFmtId="0" fontId="36" fillId="0" borderId="7" xfId="3" applyFont="1" applyBorder="1" applyAlignment="1">
      <alignment horizontal="center" vertical="center" textRotation="90" wrapText="1"/>
    </xf>
    <xf numFmtId="0" fontId="36" fillId="0" borderId="6" xfId="3" applyFont="1" applyBorder="1" applyAlignment="1">
      <alignment horizontal="center" vertical="center" textRotation="90" wrapText="1"/>
    </xf>
    <xf numFmtId="0" fontId="35" fillId="0" borderId="0" xfId="0" applyFont="1" applyAlignment="1">
      <alignment horizontal="center" vertical="top" wrapText="1"/>
    </xf>
    <xf numFmtId="0" fontId="35" fillId="0" borderId="5" xfId="3" applyFont="1" applyBorder="1" applyAlignment="1">
      <alignment horizontal="center" vertical="center" textRotation="90" wrapText="1"/>
    </xf>
    <xf numFmtId="0" fontId="35" fillId="0" borderId="4" xfId="3" applyFont="1" applyBorder="1" applyAlignment="1">
      <alignment horizontal="center" vertical="center" textRotation="90" wrapText="1" shrinkToFit="1"/>
    </xf>
    <xf numFmtId="0" fontId="35" fillId="0" borderId="5" xfId="3" applyFont="1" applyBorder="1" applyAlignment="1">
      <alignment horizontal="center" vertical="center" textRotation="90" wrapText="1" shrinkToFit="1"/>
    </xf>
    <xf numFmtId="0" fontId="35" fillId="0" borderId="3" xfId="3" applyFont="1" applyBorder="1" applyAlignment="1">
      <alignment horizontal="center" vertical="center" textRotation="90" wrapText="1" shrinkToFit="1"/>
    </xf>
    <xf numFmtId="0" fontId="35" fillId="0" borderId="7" xfId="3" applyFont="1" applyBorder="1" applyAlignment="1">
      <alignment horizontal="center" vertical="center" wrapText="1"/>
    </xf>
    <xf numFmtId="0" fontId="35" fillId="0" borderId="8" xfId="3" applyFont="1" applyBorder="1" applyAlignment="1">
      <alignment horizontal="center" vertical="center" wrapText="1"/>
    </xf>
    <xf numFmtId="0" fontId="35" fillId="0" borderId="6" xfId="3" applyFont="1" applyBorder="1" applyAlignment="1">
      <alignment horizontal="center" vertical="center" wrapText="1"/>
    </xf>
    <xf numFmtId="0" fontId="35" fillId="0" borderId="7" xfId="3" applyFont="1" applyBorder="1" applyAlignment="1">
      <alignment horizontal="center" vertical="center" textRotation="90" wrapText="1"/>
    </xf>
    <xf numFmtId="0" fontId="35" fillId="0" borderId="6" xfId="3" applyFont="1" applyBorder="1" applyAlignment="1">
      <alignment horizontal="center" vertical="center" textRotation="90" wrapText="1"/>
    </xf>
  </cellXfs>
  <cellStyles count="10">
    <cellStyle name="Обычный" xfId="0" builtinId="0"/>
    <cellStyle name="Обычный 2" xfId="1"/>
    <cellStyle name="Обычный 2 2" xfId="4"/>
    <cellStyle name="Обычный 2 2 2" xfId="3"/>
    <cellStyle name="Обычный 2 2 2 2" xfId="5"/>
    <cellStyle name="Обычный 2 2 3" xfId="6"/>
    <cellStyle name="Обычный 3" xfId="2"/>
    <cellStyle name="Обычный 4" xfId="7"/>
    <cellStyle name="Процентный 2" xfId="8"/>
    <cellStyle name="Финансовый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72;&#1087;&#1082;&#1080;\&#1076;&#1086;&#1082;&#1091;&#1084;&#1077;&#1085;&#1090;&#1099;%20&#1075;&#1086;&#1088;%20&#1060;&#1059;\&#1076;&#1086;&#1082;.2006\&#1086;&#1090;&#1095;&#1077;&#1090;%202003&#1075;&#1086;&#10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&#1043;&#1083;&#1072;&#1074;&#1085;&#1086;&#1077;%20&#1084;&#1077;&#1085;&#1102;\www.NURBEK@.mail.ru\&#1056;&#1040;&#1057;&#1061;&#1054;&#1044;&#1067;\2003\&#1086;&#1090;&#1095;&#1077;&#1090;%202003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разов.03год."/>
      <sheetName val="бюджет-2003-12"/>
      <sheetName val="спец-2003-12"/>
      <sheetName val="Лист1"/>
      <sheetName val="объяс.-12мес."/>
      <sheetName val="об.12мес.гос."/>
      <sheetName val="Лист2"/>
      <sheetName val="бюджет-2003-9"/>
      <sheetName val="спец-2003-9"/>
      <sheetName val="Объяс.9мес"/>
      <sheetName val="объяс.Iполугод."/>
      <sheetName val="обход"/>
      <sheetName val="Отчет образов"/>
      <sheetName val="спец-2003&quot;6"/>
      <sheetName val="бюджет-2003&quot;6"/>
      <sheetName val="ТС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Образов.03год."/>
      <sheetName val="Лист1"/>
      <sheetName val="объяс.-12мес."/>
      <sheetName val="об.12мес.гос."/>
      <sheetName val="Лист2"/>
      <sheetName val="бюджет-2003-9"/>
      <sheetName val="спец-2003-9"/>
      <sheetName val="Объяс.9мес"/>
      <sheetName val="объяс.Iполугод."/>
      <sheetName val="обход"/>
      <sheetName val="Отчет образов"/>
      <sheetName val="спец-2003&quot;6"/>
      <sheetName val="бюджет-2003&quot;6"/>
      <sheetName val="ТС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X66"/>
  <sheetViews>
    <sheetView view="pageBreakPreview" zoomScale="70" zoomScaleNormal="70" zoomScaleSheetLayoutView="70" zoomScalePageLayoutView="70" workbookViewId="0"/>
  </sheetViews>
  <sheetFormatPr defaultRowHeight="12.75"/>
  <cols>
    <col min="1" max="1" width="4.28515625" style="39" customWidth="1"/>
    <col min="2" max="2" width="12.28515625" style="39" customWidth="1"/>
    <col min="3" max="3" width="69.85546875" style="39" customWidth="1"/>
    <col min="4" max="4" width="5.85546875" style="39" customWidth="1"/>
    <col min="5" max="6" width="10" style="39" hidden="1" customWidth="1"/>
    <col min="7" max="8" width="9.85546875" style="39" hidden="1" customWidth="1"/>
    <col min="9" max="9" width="9.85546875" style="39" customWidth="1"/>
    <col min="10" max="10" width="11.42578125" style="39" customWidth="1"/>
    <col min="11" max="11" width="10.140625" style="39" customWidth="1"/>
    <col min="12" max="12" width="12.7109375" style="39" hidden="1" customWidth="1"/>
    <col min="13" max="13" width="11.42578125" style="39" customWidth="1"/>
    <col min="14" max="18" width="12.28515625" style="39" customWidth="1"/>
    <col min="19" max="19" width="10.28515625" style="39" hidden="1" customWidth="1"/>
    <col min="20" max="20" width="11.7109375" style="39" hidden="1" customWidth="1"/>
    <col min="21" max="21" width="8.85546875" style="39"/>
    <col min="22" max="22" width="15.140625" style="39" customWidth="1"/>
    <col min="23" max="259" width="8.85546875" style="39"/>
    <col min="260" max="260" width="4.28515625" style="39" customWidth="1"/>
    <col min="261" max="261" width="8.85546875" style="39" customWidth="1"/>
    <col min="262" max="262" width="60.5703125" style="39" customWidth="1"/>
    <col min="263" max="263" width="5.85546875" style="39" customWidth="1"/>
    <col min="264" max="264" width="0" style="39" hidden="1" customWidth="1"/>
    <col min="265" max="265" width="10" style="39" customWidth="1"/>
    <col min="266" max="266" width="9.85546875" style="39" customWidth="1"/>
    <col min="267" max="267" width="0" style="39" hidden="1" customWidth="1"/>
    <col min="268" max="268" width="9.85546875" style="39" customWidth="1"/>
    <col min="269" max="269" width="10.7109375" style="39" customWidth="1"/>
    <col min="270" max="270" width="10" style="39" bestFit="1" customWidth="1"/>
    <col min="271" max="272" width="9.42578125" style="39" customWidth="1"/>
    <col min="273" max="515" width="8.85546875" style="39"/>
    <col min="516" max="516" width="4.28515625" style="39" customWidth="1"/>
    <col min="517" max="517" width="8.85546875" style="39" customWidth="1"/>
    <col min="518" max="518" width="60.5703125" style="39" customWidth="1"/>
    <col min="519" max="519" width="5.85546875" style="39" customWidth="1"/>
    <col min="520" max="520" width="0" style="39" hidden="1" customWidth="1"/>
    <col min="521" max="521" width="10" style="39" customWidth="1"/>
    <col min="522" max="522" width="9.85546875" style="39" customWidth="1"/>
    <col min="523" max="523" width="0" style="39" hidden="1" customWidth="1"/>
    <col min="524" max="524" width="9.85546875" style="39" customWidth="1"/>
    <col min="525" max="525" width="10.7109375" style="39" customWidth="1"/>
    <col min="526" max="526" width="10" style="39" bestFit="1" customWidth="1"/>
    <col min="527" max="528" width="9.42578125" style="39" customWidth="1"/>
    <col min="529" max="771" width="8.85546875" style="39"/>
    <col min="772" max="772" width="4.28515625" style="39" customWidth="1"/>
    <col min="773" max="773" width="8.85546875" style="39" customWidth="1"/>
    <col min="774" max="774" width="60.5703125" style="39" customWidth="1"/>
    <col min="775" max="775" width="5.85546875" style="39" customWidth="1"/>
    <col min="776" max="776" width="0" style="39" hidden="1" customWidth="1"/>
    <col min="777" max="777" width="10" style="39" customWidth="1"/>
    <col min="778" max="778" width="9.85546875" style="39" customWidth="1"/>
    <col min="779" max="779" width="0" style="39" hidden="1" customWidth="1"/>
    <col min="780" max="780" width="9.85546875" style="39" customWidth="1"/>
    <col min="781" max="781" width="10.7109375" style="39" customWidth="1"/>
    <col min="782" max="782" width="10" style="39" bestFit="1" customWidth="1"/>
    <col min="783" max="784" width="9.42578125" style="39" customWidth="1"/>
    <col min="785" max="1027" width="8.85546875" style="39"/>
    <col min="1028" max="1028" width="4.28515625" style="39" customWidth="1"/>
    <col min="1029" max="1029" width="8.85546875" style="39" customWidth="1"/>
    <col min="1030" max="1030" width="60.5703125" style="39" customWidth="1"/>
    <col min="1031" max="1031" width="5.85546875" style="39" customWidth="1"/>
    <col min="1032" max="1032" width="0" style="39" hidden="1" customWidth="1"/>
    <col min="1033" max="1033" width="10" style="39" customWidth="1"/>
    <col min="1034" max="1034" width="9.85546875" style="39" customWidth="1"/>
    <col min="1035" max="1035" width="0" style="39" hidden="1" customWidth="1"/>
    <col min="1036" max="1036" width="9.85546875" style="39" customWidth="1"/>
    <col min="1037" max="1037" width="10.7109375" style="39" customWidth="1"/>
    <col min="1038" max="1038" width="10" style="39" bestFit="1" customWidth="1"/>
    <col min="1039" max="1040" width="9.42578125" style="39" customWidth="1"/>
    <col min="1041" max="1283" width="8.85546875" style="39"/>
    <col min="1284" max="1284" width="4.28515625" style="39" customWidth="1"/>
    <col min="1285" max="1285" width="8.85546875" style="39" customWidth="1"/>
    <col min="1286" max="1286" width="60.5703125" style="39" customWidth="1"/>
    <col min="1287" max="1287" width="5.85546875" style="39" customWidth="1"/>
    <col min="1288" max="1288" width="0" style="39" hidden="1" customWidth="1"/>
    <col min="1289" max="1289" width="10" style="39" customWidth="1"/>
    <col min="1290" max="1290" width="9.85546875" style="39" customWidth="1"/>
    <col min="1291" max="1291" width="0" style="39" hidden="1" customWidth="1"/>
    <col min="1292" max="1292" width="9.85546875" style="39" customWidth="1"/>
    <col min="1293" max="1293" width="10.7109375" style="39" customWidth="1"/>
    <col min="1294" max="1294" width="10" style="39" bestFit="1" customWidth="1"/>
    <col min="1295" max="1296" width="9.42578125" style="39" customWidth="1"/>
    <col min="1297" max="1539" width="8.85546875" style="39"/>
    <col min="1540" max="1540" width="4.28515625" style="39" customWidth="1"/>
    <col min="1541" max="1541" width="8.85546875" style="39" customWidth="1"/>
    <col min="1542" max="1542" width="60.5703125" style="39" customWidth="1"/>
    <col min="1543" max="1543" width="5.85546875" style="39" customWidth="1"/>
    <col min="1544" max="1544" width="0" style="39" hidden="1" customWidth="1"/>
    <col min="1545" max="1545" width="10" style="39" customWidth="1"/>
    <col min="1546" max="1546" width="9.85546875" style="39" customWidth="1"/>
    <col min="1547" max="1547" width="0" style="39" hidden="1" customWidth="1"/>
    <col min="1548" max="1548" width="9.85546875" style="39" customWidth="1"/>
    <col min="1549" max="1549" width="10.7109375" style="39" customWidth="1"/>
    <col min="1550" max="1550" width="10" style="39" bestFit="1" customWidth="1"/>
    <col min="1551" max="1552" width="9.42578125" style="39" customWidth="1"/>
    <col min="1553" max="1795" width="8.85546875" style="39"/>
    <col min="1796" max="1796" width="4.28515625" style="39" customWidth="1"/>
    <col min="1797" max="1797" width="8.85546875" style="39" customWidth="1"/>
    <col min="1798" max="1798" width="60.5703125" style="39" customWidth="1"/>
    <col min="1799" max="1799" width="5.85546875" style="39" customWidth="1"/>
    <col min="1800" max="1800" width="0" style="39" hidden="1" customWidth="1"/>
    <col min="1801" max="1801" width="10" style="39" customWidth="1"/>
    <col min="1802" max="1802" width="9.85546875" style="39" customWidth="1"/>
    <col min="1803" max="1803" width="0" style="39" hidden="1" customWidth="1"/>
    <col min="1804" max="1804" width="9.85546875" style="39" customWidth="1"/>
    <col min="1805" max="1805" width="10.7109375" style="39" customWidth="1"/>
    <col min="1806" max="1806" width="10" style="39" bestFit="1" customWidth="1"/>
    <col min="1807" max="1808" width="9.42578125" style="39" customWidth="1"/>
    <col min="1809" max="2051" width="8.85546875" style="39"/>
    <col min="2052" max="2052" width="4.28515625" style="39" customWidth="1"/>
    <col min="2053" max="2053" width="8.85546875" style="39" customWidth="1"/>
    <col min="2054" max="2054" width="60.5703125" style="39" customWidth="1"/>
    <col min="2055" max="2055" width="5.85546875" style="39" customWidth="1"/>
    <col min="2056" max="2056" width="0" style="39" hidden="1" customWidth="1"/>
    <col min="2057" max="2057" width="10" style="39" customWidth="1"/>
    <col min="2058" max="2058" width="9.85546875" style="39" customWidth="1"/>
    <col min="2059" max="2059" width="0" style="39" hidden="1" customWidth="1"/>
    <col min="2060" max="2060" width="9.85546875" style="39" customWidth="1"/>
    <col min="2061" max="2061" width="10.7109375" style="39" customWidth="1"/>
    <col min="2062" max="2062" width="10" style="39" bestFit="1" customWidth="1"/>
    <col min="2063" max="2064" width="9.42578125" style="39" customWidth="1"/>
    <col min="2065" max="2307" width="8.85546875" style="39"/>
    <col min="2308" max="2308" width="4.28515625" style="39" customWidth="1"/>
    <col min="2309" max="2309" width="8.85546875" style="39" customWidth="1"/>
    <col min="2310" max="2310" width="60.5703125" style="39" customWidth="1"/>
    <col min="2311" max="2311" width="5.85546875" style="39" customWidth="1"/>
    <col min="2312" max="2312" width="0" style="39" hidden="1" customWidth="1"/>
    <col min="2313" max="2313" width="10" style="39" customWidth="1"/>
    <col min="2314" max="2314" width="9.85546875" style="39" customWidth="1"/>
    <col min="2315" max="2315" width="0" style="39" hidden="1" customWidth="1"/>
    <col min="2316" max="2316" width="9.85546875" style="39" customWidth="1"/>
    <col min="2317" max="2317" width="10.7109375" style="39" customWidth="1"/>
    <col min="2318" max="2318" width="10" style="39" bestFit="1" customWidth="1"/>
    <col min="2319" max="2320" width="9.42578125" style="39" customWidth="1"/>
    <col min="2321" max="2563" width="8.85546875" style="39"/>
    <col min="2564" max="2564" width="4.28515625" style="39" customWidth="1"/>
    <col min="2565" max="2565" width="8.85546875" style="39" customWidth="1"/>
    <col min="2566" max="2566" width="60.5703125" style="39" customWidth="1"/>
    <col min="2567" max="2567" width="5.85546875" style="39" customWidth="1"/>
    <col min="2568" max="2568" width="0" style="39" hidden="1" customWidth="1"/>
    <col min="2569" max="2569" width="10" style="39" customWidth="1"/>
    <col min="2570" max="2570" width="9.85546875" style="39" customWidth="1"/>
    <col min="2571" max="2571" width="0" style="39" hidden="1" customWidth="1"/>
    <col min="2572" max="2572" width="9.85546875" style="39" customWidth="1"/>
    <col min="2573" max="2573" width="10.7109375" style="39" customWidth="1"/>
    <col min="2574" max="2574" width="10" style="39" bestFit="1" customWidth="1"/>
    <col min="2575" max="2576" width="9.42578125" style="39" customWidth="1"/>
    <col min="2577" max="2819" width="8.85546875" style="39"/>
    <col min="2820" max="2820" width="4.28515625" style="39" customWidth="1"/>
    <col min="2821" max="2821" width="8.85546875" style="39" customWidth="1"/>
    <col min="2822" max="2822" width="60.5703125" style="39" customWidth="1"/>
    <col min="2823" max="2823" width="5.85546875" style="39" customWidth="1"/>
    <col min="2824" max="2824" width="0" style="39" hidden="1" customWidth="1"/>
    <col min="2825" max="2825" width="10" style="39" customWidth="1"/>
    <col min="2826" max="2826" width="9.85546875" style="39" customWidth="1"/>
    <col min="2827" max="2827" width="0" style="39" hidden="1" customWidth="1"/>
    <col min="2828" max="2828" width="9.85546875" style="39" customWidth="1"/>
    <col min="2829" max="2829" width="10.7109375" style="39" customWidth="1"/>
    <col min="2830" max="2830" width="10" style="39" bestFit="1" customWidth="1"/>
    <col min="2831" max="2832" width="9.42578125" style="39" customWidth="1"/>
    <col min="2833" max="3075" width="8.85546875" style="39"/>
    <col min="3076" max="3076" width="4.28515625" style="39" customWidth="1"/>
    <col min="3077" max="3077" width="8.85546875" style="39" customWidth="1"/>
    <col min="3078" max="3078" width="60.5703125" style="39" customWidth="1"/>
    <col min="3079" max="3079" width="5.85546875" style="39" customWidth="1"/>
    <col min="3080" max="3080" width="0" style="39" hidden="1" customWidth="1"/>
    <col min="3081" max="3081" width="10" style="39" customWidth="1"/>
    <col min="3082" max="3082" width="9.85546875" style="39" customWidth="1"/>
    <col min="3083" max="3083" width="0" style="39" hidden="1" customWidth="1"/>
    <col min="3084" max="3084" width="9.85546875" style="39" customWidth="1"/>
    <col min="3085" max="3085" width="10.7109375" style="39" customWidth="1"/>
    <col min="3086" max="3086" width="10" style="39" bestFit="1" customWidth="1"/>
    <col min="3087" max="3088" width="9.42578125" style="39" customWidth="1"/>
    <col min="3089" max="3331" width="8.85546875" style="39"/>
    <col min="3332" max="3332" width="4.28515625" style="39" customWidth="1"/>
    <col min="3333" max="3333" width="8.85546875" style="39" customWidth="1"/>
    <col min="3334" max="3334" width="60.5703125" style="39" customWidth="1"/>
    <col min="3335" max="3335" width="5.85546875" style="39" customWidth="1"/>
    <col min="3336" max="3336" width="0" style="39" hidden="1" customWidth="1"/>
    <col min="3337" max="3337" width="10" style="39" customWidth="1"/>
    <col min="3338" max="3338" width="9.85546875" style="39" customWidth="1"/>
    <col min="3339" max="3339" width="0" style="39" hidden="1" customWidth="1"/>
    <col min="3340" max="3340" width="9.85546875" style="39" customWidth="1"/>
    <col min="3341" max="3341" width="10.7109375" style="39" customWidth="1"/>
    <col min="3342" max="3342" width="10" style="39" bestFit="1" customWidth="1"/>
    <col min="3343" max="3344" width="9.42578125" style="39" customWidth="1"/>
    <col min="3345" max="3587" width="8.85546875" style="39"/>
    <col min="3588" max="3588" width="4.28515625" style="39" customWidth="1"/>
    <col min="3589" max="3589" width="8.85546875" style="39" customWidth="1"/>
    <col min="3590" max="3590" width="60.5703125" style="39" customWidth="1"/>
    <col min="3591" max="3591" width="5.85546875" style="39" customWidth="1"/>
    <col min="3592" max="3592" width="0" style="39" hidden="1" customWidth="1"/>
    <col min="3593" max="3593" width="10" style="39" customWidth="1"/>
    <col min="3594" max="3594" width="9.85546875" style="39" customWidth="1"/>
    <col min="3595" max="3595" width="0" style="39" hidden="1" customWidth="1"/>
    <col min="3596" max="3596" width="9.85546875" style="39" customWidth="1"/>
    <col min="3597" max="3597" width="10.7109375" style="39" customWidth="1"/>
    <col min="3598" max="3598" width="10" style="39" bestFit="1" customWidth="1"/>
    <col min="3599" max="3600" width="9.42578125" style="39" customWidth="1"/>
    <col min="3601" max="3843" width="8.85546875" style="39"/>
    <col min="3844" max="3844" width="4.28515625" style="39" customWidth="1"/>
    <col min="3845" max="3845" width="8.85546875" style="39" customWidth="1"/>
    <col min="3846" max="3846" width="60.5703125" style="39" customWidth="1"/>
    <col min="3847" max="3847" width="5.85546875" style="39" customWidth="1"/>
    <col min="3848" max="3848" width="0" style="39" hidden="1" customWidth="1"/>
    <col min="3849" max="3849" width="10" style="39" customWidth="1"/>
    <col min="3850" max="3850" width="9.85546875" style="39" customWidth="1"/>
    <col min="3851" max="3851" width="0" style="39" hidden="1" customWidth="1"/>
    <col min="3852" max="3852" width="9.85546875" style="39" customWidth="1"/>
    <col min="3853" max="3853" width="10.7109375" style="39" customWidth="1"/>
    <col min="3854" max="3854" width="10" style="39" bestFit="1" customWidth="1"/>
    <col min="3855" max="3856" width="9.42578125" style="39" customWidth="1"/>
    <col min="3857" max="4099" width="8.85546875" style="39"/>
    <col min="4100" max="4100" width="4.28515625" style="39" customWidth="1"/>
    <col min="4101" max="4101" width="8.85546875" style="39" customWidth="1"/>
    <col min="4102" max="4102" width="60.5703125" style="39" customWidth="1"/>
    <col min="4103" max="4103" width="5.85546875" style="39" customWidth="1"/>
    <col min="4104" max="4104" width="0" style="39" hidden="1" customWidth="1"/>
    <col min="4105" max="4105" width="10" style="39" customWidth="1"/>
    <col min="4106" max="4106" width="9.85546875" style="39" customWidth="1"/>
    <col min="4107" max="4107" width="0" style="39" hidden="1" customWidth="1"/>
    <col min="4108" max="4108" width="9.85546875" style="39" customWidth="1"/>
    <col min="4109" max="4109" width="10.7109375" style="39" customWidth="1"/>
    <col min="4110" max="4110" width="10" style="39" bestFit="1" customWidth="1"/>
    <col min="4111" max="4112" width="9.42578125" style="39" customWidth="1"/>
    <col min="4113" max="4355" width="8.85546875" style="39"/>
    <col min="4356" max="4356" width="4.28515625" style="39" customWidth="1"/>
    <col min="4357" max="4357" width="8.85546875" style="39" customWidth="1"/>
    <col min="4358" max="4358" width="60.5703125" style="39" customWidth="1"/>
    <col min="4359" max="4359" width="5.85546875" style="39" customWidth="1"/>
    <col min="4360" max="4360" width="0" style="39" hidden="1" customWidth="1"/>
    <col min="4361" max="4361" width="10" style="39" customWidth="1"/>
    <col min="4362" max="4362" width="9.85546875" style="39" customWidth="1"/>
    <col min="4363" max="4363" width="0" style="39" hidden="1" customWidth="1"/>
    <col min="4364" max="4364" width="9.85546875" style="39" customWidth="1"/>
    <col min="4365" max="4365" width="10.7109375" style="39" customWidth="1"/>
    <col min="4366" max="4366" width="10" style="39" bestFit="1" customWidth="1"/>
    <col min="4367" max="4368" width="9.42578125" style="39" customWidth="1"/>
    <col min="4369" max="4611" width="8.85546875" style="39"/>
    <col min="4612" max="4612" width="4.28515625" style="39" customWidth="1"/>
    <col min="4613" max="4613" width="8.85546875" style="39" customWidth="1"/>
    <col min="4614" max="4614" width="60.5703125" style="39" customWidth="1"/>
    <col min="4615" max="4615" width="5.85546875" style="39" customWidth="1"/>
    <col min="4616" max="4616" width="0" style="39" hidden="1" customWidth="1"/>
    <col min="4617" max="4617" width="10" style="39" customWidth="1"/>
    <col min="4618" max="4618" width="9.85546875" style="39" customWidth="1"/>
    <col min="4619" max="4619" width="0" style="39" hidden="1" customWidth="1"/>
    <col min="4620" max="4620" width="9.85546875" style="39" customWidth="1"/>
    <col min="4621" max="4621" width="10.7109375" style="39" customWidth="1"/>
    <col min="4622" max="4622" width="10" style="39" bestFit="1" customWidth="1"/>
    <col min="4623" max="4624" width="9.42578125" style="39" customWidth="1"/>
    <col min="4625" max="4867" width="8.85546875" style="39"/>
    <col min="4868" max="4868" width="4.28515625" style="39" customWidth="1"/>
    <col min="4869" max="4869" width="8.85546875" style="39" customWidth="1"/>
    <col min="4870" max="4870" width="60.5703125" style="39" customWidth="1"/>
    <col min="4871" max="4871" width="5.85546875" style="39" customWidth="1"/>
    <col min="4872" max="4872" width="0" style="39" hidden="1" customWidth="1"/>
    <col min="4873" max="4873" width="10" style="39" customWidth="1"/>
    <col min="4874" max="4874" width="9.85546875" style="39" customWidth="1"/>
    <col min="4875" max="4875" width="0" style="39" hidden="1" customWidth="1"/>
    <col min="4876" max="4876" width="9.85546875" style="39" customWidth="1"/>
    <col min="4877" max="4877" width="10.7109375" style="39" customWidth="1"/>
    <col min="4878" max="4878" width="10" style="39" bestFit="1" customWidth="1"/>
    <col min="4879" max="4880" width="9.42578125" style="39" customWidth="1"/>
    <col min="4881" max="5123" width="8.85546875" style="39"/>
    <col min="5124" max="5124" width="4.28515625" style="39" customWidth="1"/>
    <col min="5125" max="5125" width="8.85546875" style="39" customWidth="1"/>
    <col min="5126" max="5126" width="60.5703125" style="39" customWidth="1"/>
    <col min="5127" max="5127" width="5.85546875" style="39" customWidth="1"/>
    <col min="5128" max="5128" width="0" style="39" hidden="1" customWidth="1"/>
    <col min="5129" max="5129" width="10" style="39" customWidth="1"/>
    <col min="5130" max="5130" width="9.85546875" style="39" customWidth="1"/>
    <col min="5131" max="5131" width="0" style="39" hidden="1" customWidth="1"/>
    <col min="5132" max="5132" width="9.85546875" style="39" customWidth="1"/>
    <col min="5133" max="5133" width="10.7109375" style="39" customWidth="1"/>
    <col min="5134" max="5134" width="10" style="39" bestFit="1" customWidth="1"/>
    <col min="5135" max="5136" width="9.42578125" style="39" customWidth="1"/>
    <col min="5137" max="5379" width="8.85546875" style="39"/>
    <col min="5380" max="5380" width="4.28515625" style="39" customWidth="1"/>
    <col min="5381" max="5381" width="8.85546875" style="39" customWidth="1"/>
    <col min="5382" max="5382" width="60.5703125" style="39" customWidth="1"/>
    <col min="5383" max="5383" width="5.85546875" style="39" customWidth="1"/>
    <col min="5384" max="5384" width="0" style="39" hidden="1" customWidth="1"/>
    <col min="5385" max="5385" width="10" style="39" customWidth="1"/>
    <col min="5386" max="5386" width="9.85546875" style="39" customWidth="1"/>
    <col min="5387" max="5387" width="0" style="39" hidden="1" customWidth="1"/>
    <col min="5388" max="5388" width="9.85546875" style="39" customWidth="1"/>
    <col min="5389" max="5389" width="10.7109375" style="39" customWidth="1"/>
    <col min="5390" max="5390" width="10" style="39" bestFit="1" customWidth="1"/>
    <col min="5391" max="5392" width="9.42578125" style="39" customWidth="1"/>
    <col min="5393" max="5635" width="8.85546875" style="39"/>
    <col min="5636" max="5636" width="4.28515625" style="39" customWidth="1"/>
    <col min="5637" max="5637" width="8.85546875" style="39" customWidth="1"/>
    <col min="5638" max="5638" width="60.5703125" style="39" customWidth="1"/>
    <col min="5639" max="5639" width="5.85546875" style="39" customWidth="1"/>
    <col min="5640" max="5640" width="0" style="39" hidden="1" customWidth="1"/>
    <col min="5641" max="5641" width="10" style="39" customWidth="1"/>
    <col min="5642" max="5642" width="9.85546875" style="39" customWidth="1"/>
    <col min="5643" max="5643" width="0" style="39" hidden="1" customWidth="1"/>
    <col min="5644" max="5644" width="9.85546875" style="39" customWidth="1"/>
    <col min="5645" max="5645" width="10.7109375" style="39" customWidth="1"/>
    <col min="5646" max="5646" width="10" style="39" bestFit="1" customWidth="1"/>
    <col min="5647" max="5648" width="9.42578125" style="39" customWidth="1"/>
    <col min="5649" max="5891" width="8.85546875" style="39"/>
    <col min="5892" max="5892" width="4.28515625" style="39" customWidth="1"/>
    <col min="5893" max="5893" width="8.85546875" style="39" customWidth="1"/>
    <col min="5894" max="5894" width="60.5703125" style="39" customWidth="1"/>
    <col min="5895" max="5895" width="5.85546875" style="39" customWidth="1"/>
    <col min="5896" max="5896" width="0" style="39" hidden="1" customWidth="1"/>
    <col min="5897" max="5897" width="10" style="39" customWidth="1"/>
    <col min="5898" max="5898" width="9.85546875" style="39" customWidth="1"/>
    <col min="5899" max="5899" width="0" style="39" hidden="1" customWidth="1"/>
    <col min="5900" max="5900" width="9.85546875" style="39" customWidth="1"/>
    <col min="5901" max="5901" width="10.7109375" style="39" customWidth="1"/>
    <col min="5902" max="5902" width="10" style="39" bestFit="1" customWidth="1"/>
    <col min="5903" max="5904" width="9.42578125" style="39" customWidth="1"/>
    <col min="5905" max="6147" width="8.85546875" style="39"/>
    <col min="6148" max="6148" width="4.28515625" style="39" customWidth="1"/>
    <col min="6149" max="6149" width="8.85546875" style="39" customWidth="1"/>
    <col min="6150" max="6150" width="60.5703125" style="39" customWidth="1"/>
    <col min="6151" max="6151" width="5.85546875" style="39" customWidth="1"/>
    <col min="6152" max="6152" width="0" style="39" hidden="1" customWidth="1"/>
    <col min="6153" max="6153" width="10" style="39" customWidth="1"/>
    <col min="6154" max="6154" width="9.85546875" style="39" customWidth="1"/>
    <col min="6155" max="6155" width="0" style="39" hidden="1" customWidth="1"/>
    <col min="6156" max="6156" width="9.85546875" style="39" customWidth="1"/>
    <col min="6157" max="6157" width="10.7109375" style="39" customWidth="1"/>
    <col min="6158" max="6158" width="10" style="39" bestFit="1" customWidth="1"/>
    <col min="6159" max="6160" width="9.42578125" style="39" customWidth="1"/>
    <col min="6161" max="6403" width="8.85546875" style="39"/>
    <col min="6404" max="6404" width="4.28515625" style="39" customWidth="1"/>
    <col min="6405" max="6405" width="8.85546875" style="39" customWidth="1"/>
    <col min="6406" max="6406" width="60.5703125" style="39" customWidth="1"/>
    <col min="6407" max="6407" width="5.85546875" style="39" customWidth="1"/>
    <col min="6408" max="6408" width="0" style="39" hidden="1" customWidth="1"/>
    <col min="6409" max="6409" width="10" style="39" customWidth="1"/>
    <col min="6410" max="6410" width="9.85546875" style="39" customWidth="1"/>
    <col min="6411" max="6411" width="0" style="39" hidden="1" customWidth="1"/>
    <col min="6412" max="6412" width="9.85546875" style="39" customWidth="1"/>
    <col min="6413" max="6413" width="10.7109375" style="39" customWidth="1"/>
    <col min="6414" max="6414" width="10" style="39" bestFit="1" customWidth="1"/>
    <col min="6415" max="6416" width="9.42578125" style="39" customWidth="1"/>
    <col min="6417" max="6659" width="8.85546875" style="39"/>
    <col min="6660" max="6660" width="4.28515625" style="39" customWidth="1"/>
    <col min="6661" max="6661" width="8.85546875" style="39" customWidth="1"/>
    <col min="6662" max="6662" width="60.5703125" style="39" customWidth="1"/>
    <col min="6663" max="6663" width="5.85546875" style="39" customWidth="1"/>
    <col min="6664" max="6664" width="0" style="39" hidden="1" customWidth="1"/>
    <col min="6665" max="6665" width="10" style="39" customWidth="1"/>
    <col min="6666" max="6666" width="9.85546875" style="39" customWidth="1"/>
    <col min="6667" max="6667" width="0" style="39" hidden="1" customWidth="1"/>
    <col min="6668" max="6668" width="9.85546875" style="39" customWidth="1"/>
    <col min="6669" max="6669" width="10.7109375" style="39" customWidth="1"/>
    <col min="6670" max="6670" width="10" style="39" bestFit="1" customWidth="1"/>
    <col min="6671" max="6672" width="9.42578125" style="39" customWidth="1"/>
    <col min="6673" max="6915" width="8.85546875" style="39"/>
    <col min="6916" max="6916" width="4.28515625" style="39" customWidth="1"/>
    <col min="6917" max="6917" width="8.85546875" style="39" customWidth="1"/>
    <col min="6918" max="6918" width="60.5703125" style="39" customWidth="1"/>
    <col min="6919" max="6919" width="5.85546875" style="39" customWidth="1"/>
    <col min="6920" max="6920" width="0" style="39" hidden="1" customWidth="1"/>
    <col min="6921" max="6921" width="10" style="39" customWidth="1"/>
    <col min="6922" max="6922" width="9.85546875" style="39" customWidth="1"/>
    <col min="6923" max="6923" width="0" style="39" hidden="1" customWidth="1"/>
    <col min="6924" max="6924" width="9.85546875" style="39" customWidth="1"/>
    <col min="6925" max="6925" width="10.7109375" style="39" customWidth="1"/>
    <col min="6926" max="6926" width="10" style="39" bestFit="1" customWidth="1"/>
    <col min="6927" max="6928" width="9.42578125" style="39" customWidth="1"/>
    <col min="6929" max="7171" width="8.85546875" style="39"/>
    <col min="7172" max="7172" width="4.28515625" style="39" customWidth="1"/>
    <col min="7173" max="7173" width="8.85546875" style="39" customWidth="1"/>
    <col min="7174" max="7174" width="60.5703125" style="39" customWidth="1"/>
    <col min="7175" max="7175" width="5.85546875" style="39" customWidth="1"/>
    <col min="7176" max="7176" width="0" style="39" hidden="1" customWidth="1"/>
    <col min="7177" max="7177" width="10" style="39" customWidth="1"/>
    <col min="7178" max="7178" width="9.85546875" style="39" customWidth="1"/>
    <col min="7179" max="7179" width="0" style="39" hidden="1" customWidth="1"/>
    <col min="7180" max="7180" width="9.85546875" style="39" customWidth="1"/>
    <col min="7181" max="7181" width="10.7109375" style="39" customWidth="1"/>
    <col min="7182" max="7182" width="10" style="39" bestFit="1" customWidth="1"/>
    <col min="7183" max="7184" width="9.42578125" style="39" customWidth="1"/>
    <col min="7185" max="7427" width="8.85546875" style="39"/>
    <col min="7428" max="7428" width="4.28515625" style="39" customWidth="1"/>
    <col min="7429" max="7429" width="8.85546875" style="39" customWidth="1"/>
    <col min="7430" max="7430" width="60.5703125" style="39" customWidth="1"/>
    <col min="7431" max="7431" width="5.85546875" style="39" customWidth="1"/>
    <col min="7432" max="7432" width="0" style="39" hidden="1" customWidth="1"/>
    <col min="7433" max="7433" width="10" style="39" customWidth="1"/>
    <col min="7434" max="7434" width="9.85546875" style="39" customWidth="1"/>
    <col min="7435" max="7435" width="0" style="39" hidden="1" customWidth="1"/>
    <col min="7436" max="7436" width="9.85546875" style="39" customWidth="1"/>
    <col min="7437" max="7437" width="10.7109375" style="39" customWidth="1"/>
    <col min="7438" max="7438" width="10" style="39" bestFit="1" customWidth="1"/>
    <col min="7439" max="7440" width="9.42578125" style="39" customWidth="1"/>
    <col min="7441" max="7683" width="8.85546875" style="39"/>
    <col min="7684" max="7684" width="4.28515625" style="39" customWidth="1"/>
    <col min="7685" max="7685" width="8.85546875" style="39" customWidth="1"/>
    <col min="7686" max="7686" width="60.5703125" style="39" customWidth="1"/>
    <col min="7687" max="7687" width="5.85546875" style="39" customWidth="1"/>
    <col min="7688" max="7688" width="0" style="39" hidden="1" customWidth="1"/>
    <col min="7689" max="7689" width="10" style="39" customWidth="1"/>
    <col min="7690" max="7690" width="9.85546875" style="39" customWidth="1"/>
    <col min="7691" max="7691" width="0" style="39" hidden="1" customWidth="1"/>
    <col min="7692" max="7692" width="9.85546875" style="39" customWidth="1"/>
    <col min="7693" max="7693" width="10.7109375" style="39" customWidth="1"/>
    <col min="7694" max="7694" width="10" style="39" bestFit="1" customWidth="1"/>
    <col min="7695" max="7696" width="9.42578125" style="39" customWidth="1"/>
    <col min="7697" max="7939" width="8.85546875" style="39"/>
    <col min="7940" max="7940" width="4.28515625" style="39" customWidth="1"/>
    <col min="7941" max="7941" width="8.85546875" style="39" customWidth="1"/>
    <col min="7942" max="7942" width="60.5703125" style="39" customWidth="1"/>
    <col min="7943" max="7943" width="5.85546875" style="39" customWidth="1"/>
    <col min="7944" max="7944" width="0" style="39" hidden="1" customWidth="1"/>
    <col min="7945" max="7945" width="10" style="39" customWidth="1"/>
    <col min="7946" max="7946" width="9.85546875" style="39" customWidth="1"/>
    <col min="7947" max="7947" width="0" style="39" hidden="1" customWidth="1"/>
    <col min="7948" max="7948" width="9.85546875" style="39" customWidth="1"/>
    <col min="7949" max="7949" width="10.7109375" style="39" customWidth="1"/>
    <col min="7950" max="7950" width="10" style="39" bestFit="1" customWidth="1"/>
    <col min="7951" max="7952" width="9.42578125" style="39" customWidth="1"/>
    <col min="7953" max="8195" width="8.85546875" style="39"/>
    <col min="8196" max="8196" width="4.28515625" style="39" customWidth="1"/>
    <col min="8197" max="8197" width="8.85546875" style="39" customWidth="1"/>
    <col min="8198" max="8198" width="60.5703125" style="39" customWidth="1"/>
    <col min="8199" max="8199" width="5.85546875" style="39" customWidth="1"/>
    <col min="8200" max="8200" width="0" style="39" hidden="1" customWidth="1"/>
    <col min="8201" max="8201" width="10" style="39" customWidth="1"/>
    <col min="8202" max="8202" width="9.85546875" style="39" customWidth="1"/>
    <col min="8203" max="8203" width="0" style="39" hidden="1" customWidth="1"/>
    <col min="8204" max="8204" width="9.85546875" style="39" customWidth="1"/>
    <col min="8205" max="8205" width="10.7109375" style="39" customWidth="1"/>
    <col min="8206" max="8206" width="10" style="39" bestFit="1" customWidth="1"/>
    <col min="8207" max="8208" width="9.42578125" style="39" customWidth="1"/>
    <col min="8209" max="8451" width="8.85546875" style="39"/>
    <col min="8452" max="8452" width="4.28515625" style="39" customWidth="1"/>
    <col min="8453" max="8453" width="8.85546875" style="39" customWidth="1"/>
    <col min="8454" max="8454" width="60.5703125" style="39" customWidth="1"/>
    <col min="8455" max="8455" width="5.85546875" style="39" customWidth="1"/>
    <col min="8456" max="8456" width="0" style="39" hidden="1" customWidth="1"/>
    <col min="8457" max="8457" width="10" style="39" customWidth="1"/>
    <col min="8458" max="8458" width="9.85546875" style="39" customWidth="1"/>
    <col min="8459" max="8459" width="0" style="39" hidden="1" customWidth="1"/>
    <col min="8460" max="8460" width="9.85546875" style="39" customWidth="1"/>
    <col min="8461" max="8461" width="10.7109375" style="39" customWidth="1"/>
    <col min="8462" max="8462" width="10" style="39" bestFit="1" customWidth="1"/>
    <col min="8463" max="8464" width="9.42578125" style="39" customWidth="1"/>
    <col min="8465" max="8707" width="8.85546875" style="39"/>
    <col min="8708" max="8708" width="4.28515625" style="39" customWidth="1"/>
    <col min="8709" max="8709" width="8.85546875" style="39" customWidth="1"/>
    <col min="8710" max="8710" width="60.5703125" style="39" customWidth="1"/>
    <col min="8711" max="8711" width="5.85546875" style="39" customWidth="1"/>
    <col min="8712" max="8712" width="0" style="39" hidden="1" customWidth="1"/>
    <col min="8713" max="8713" width="10" style="39" customWidth="1"/>
    <col min="8714" max="8714" width="9.85546875" style="39" customWidth="1"/>
    <col min="8715" max="8715" width="0" style="39" hidden="1" customWidth="1"/>
    <col min="8716" max="8716" width="9.85546875" style="39" customWidth="1"/>
    <col min="8717" max="8717" width="10.7109375" style="39" customWidth="1"/>
    <col min="8718" max="8718" width="10" style="39" bestFit="1" customWidth="1"/>
    <col min="8719" max="8720" width="9.42578125" style="39" customWidth="1"/>
    <col min="8721" max="8963" width="8.85546875" style="39"/>
    <col min="8964" max="8964" width="4.28515625" style="39" customWidth="1"/>
    <col min="8965" max="8965" width="8.85546875" style="39" customWidth="1"/>
    <col min="8966" max="8966" width="60.5703125" style="39" customWidth="1"/>
    <col min="8967" max="8967" width="5.85546875" style="39" customWidth="1"/>
    <col min="8968" max="8968" width="0" style="39" hidden="1" customWidth="1"/>
    <col min="8969" max="8969" width="10" style="39" customWidth="1"/>
    <col min="8970" max="8970" width="9.85546875" style="39" customWidth="1"/>
    <col min="8971" max="8971" width="0" style="39" hidden="1" customWidth="1"/>
    <col min="8972" max="8972" width="9.85546875" style="39" customWidth="1"/>
    <col min="8973" max="8973" width="10.7109375" style="39" customWidth="1"/>
    <col min="8974" max="8974" width="10" style="39" bestFit="1" customWidth="1"/>
    <col min="8975" max="8976" width="9.42578125" style="39" customWidth="1"/>
    <col min="8977" max="9219" width="8.85546875" style="39"/>
    <col min="9220" max="9220" width="4.28515625" style="39" customWidth="1"/>
    <col min="9221" max="9221" width="8.85546875" style="39" customWidth="1"/>
    <col min="9222" max="9222" width="60.5703125" style="39" customWidth="1"/>
    <col min="9223" max="9223" width="5.85546875" style="39" customWidth="1"/>
    <col min="9224" max="9224" width="0" style="39" hidden="1" customWidth="1"/>
    <col min="9225" max="9225" width="10" style="39" customWidth="1"/>
    <col min="9226" max="9226" width="9.85546875" style="39" customWidth="1"/>
    <col min="9227" max="9227" width="0" style="39" hidden="1" customWidth="1"/>
    <col min="9228" max="9228" width="9.85546875" style="39" customWidth="1"/>
    <col min="9229" max="9229" width="10.7109375" style="39" customWidth="1"/>
    <col min="9230" max="9230" width="10" style="39" bestFit="1" customWidth="1"/>
    <col min="9231" max="9232" width="9.42578125" style="39" customWidth="1"/>
    <col min="9233" max="9475" width="8.85546875" style="39"/>
    <col min="9476" max="9476" width="4.28515625" style="39" customWidth="1"/>
    <col min="9477" max="9477" width="8.85546875" style="39" customWidth="1"/>
    <col min="9478" max="9478" width="60.5703125" style="39" customWidth="1"/>
    <col min="9479" max="9479" width="5.85546875" style="39" customWidth="1"/>
    <col min="9480" max="9480" width="0" style="39" hidden="1" customWidth="1"/>
    <col min="9481" max="9481" width="10" style="39" customWidth="1"/>
    <col min="9482" max="9482" width="9.85546875" style="39" customWidth="1"/>
    <col min="9483" max="9483" width="0" style="39" hidden="1" customWidth="1"/>
    <col min="9484" max="9484" width="9.85546875" style="39" customWidth="1"/>
    <col min="9485" max="9485" width="10.7109375" style="39" customWidth="1"/>
    <col min="9486" max="9486" width="10" style="39" bestFit="1" customWidth="1"/>
    <col min="9487" max="9488" width="9.42578125" style="39" customWidth="1"/>
    <col min="9489" max="9731" width="8.85546875" style="39"/>
    <col min="9732" max="9732" width="4.28515625" style="39" customWidth="1"/>
    <col min="9733" max="9733" width="8.85546875" style="39" customWidth="1"/>
    <col min="9734" max="9734" width="60.5703125" style="39" customWidth="1"/>
    <col min="9735" max="9735" width="5.85546875" style="39" customWidth="1"/>
    <col min="9736" max="9736" width="0" style="39" hidden="1" customWidth="1"/>
    <col min="9737" max="9737" width="10" style="39" customWidth="1"/>
    <col min="9738" max="9738" width="9.85546875" style="39" customWidth="1"/>
    <col min="9739" max="9739" width="0" style="39" hidden="1" customWidth="1"/>
    <col min="9740" max="9740" width="9.85546875" style="39" customWidth="1"/>
    <col min="9741" max="9741" width="10.7109375" style="39" customWidth="1"/>
    <col min="9742" max="9742" width="10" style="39" bestFit="1" customWidth="1"/>
    <col min="9743" max="9744" width="9.42578125" style="39" customWidth="1"/>
    <col min="9745" max="9987" width="8.85546875" style="39"/>
    <col min="9988" max="9988" width="4.28515625" style="39" customWidth="1"/>
    <col min="9989" max="9989" width="8.85546875" style="39" customWidth="1"/>
    <col min="9990" max="9990" width="60.5703125" style="39" customWidth="1"/>
    <col min="9991" max="9991" width="5.85546875" style="39" customWidth="1"/>
    <col min="9992" max="9992" width="0" style="39" hidden="1" customWidth="1"/>
    <col min="9993" max="9993" width="10" style="39" customWidth="1"/>
    <col min="9994" max="9994" width="9.85546875" style="39" customWidth="1"/>
    <col min="9995" max="9995" width="0" style="39" hidden="1" customWidth="1"/>
    <col min="9996" max="9996" width="9.85546875" style="39" customWidth="1"/>
    <col min="9997" max="9997" width="10.7109375" style="39" customWidth="1"/>
    <col min="9998" max="9998" width="10" style="39" bestFit="1" customWidth="1"/>
    <col min="9999" max="10000" width="9.42578125" style="39" customWidth="1"/>
    <col min="10001" max="10243" width="8.85546875" style="39"/>
    <col min="10244" max="10244" width="4.28515625" style="39" customWidth="1"/>
    <col min="10245" max="10245" width="8.85546875" style="39" customWidth="1"/>
    <col min="10246" max="10246" width="60.5703125" style="39" customWidth="1"/>
    <col min="10247" max="10247" width="5.85546875" style="39" customWidth="1"/>
    <col min="10248" max="10248" width="0" style="39" hidden="1" customWidth="1"/>
    <col min="10249" max="10249" width="10" style="39" customWidth="1"/>
    <col min="10250" max="10250" width="9.85546875" style="39" customWidth="1"/>
    <col min="10251" max="10251" width="0" style="39" hidden="1" customWidth="1"/>
    <col min="10252" max="10252" width="9.85546875" style="39" customWidth="1"/>
    <col min="10253" max="10253" width="10.7109375" style="39" customWidth="1"/>
    <col min="10254" max="10254" width="10" style="39" bestFit="1" customWidth="1"/>
    <col min="10255" max="10256" width="9.42578125" style="39" customWidth="1"/>
    <col min="10257" max="10499" width="8.85546875" style="39"/>
    <col min="10500" max="10500" width="4.28515625" style="39" customWidth="1"/>
    <col min="10501" max="10501" width="8.85546875" style="39" customWidth="1"/>
    <col min="10502" max="10502" width="60.5703125" style="39" customWidth="1"/>
    <col min="10503" max="10503" width="5.85546875" style="39" customWidth="1"/>
    <col min="10504" max="10504" width="0" style="39" hidden="1" customWidth="1"/>
    <col min="10505" max="10505" width="10" style="39" customWidth="1"/>
    <col min="10506" max="10506" width="9.85546875" style="39" customWidth="1"/>
    <col min="10507" max="10507" width="0" style="39" hidden="1" customWidth="1"/>
    <col min="10508" max="10508" width="9.85546875" style="39" customWidth="1"/>
    <col min="10509" max="10509" width="10.7109375" style="39" customWidth="1"/>
    <col min="10510" max="10510" width="10" style="39" bestFit="1" customWidth="1"/>
    <col min="10511" max="10512" width="9.42578125" style="39" customWidth="1"/>
    <col min="10513" max="10755" width="8.85546875" style="39"/>
    <col min="10756" max="10756" width="4.28515625" style="39" customWidth="1"/>
    <col min="10757" max="10757" width="8.85546875" style="39" customWidth="1"/>
    <col min="10758" max="10758" width="60.5703125" style="39" customWidth="1"/>
    <col min="10759" max="10759" width="5.85546875" style="39" customWidth="1"/>
    <col min="10760" max="10760" width="0" style="39" hidden="1" customWidth="1"/>
    <col min="10761" max="10761" width="10" style="39" customWidth="1"/>
    <col min="10762" max="10762" width="9.85546875" style="39" customWidth="1"/>
    <col min="10763" max="10763" width="0" style="39" hidden="1" customWidth="1"/>
    <col min="10764" max="10764" width="9.85546875" style="39" customWidth="1"/>
    <col min="10765" max="10765" width="10.7109375" style="39" customWidth="1"/>
    <col min="10766" max="10766" width="10" style="39" bestFit="1" customWidth="1"/>
    <col min="10767" max="10768" width="9.42578125" style="39" customWidth="1"/>
    <col min="10769" max="11011" width="8.85546875" style="39"/>
    <col min="11012" max="11012" width="4.28515625" style="39" customWidth="1"/>
    <col min="11013" max="11013" width="8.85546875" style="39" customWidth="1"/>
    <col min="11014" max="11014" width="60.5703125" style="39" customWidth="1"/>
    <col min="11015" max="11015" width="5.85546875" style="39" customWidth="1"/>
    <col min="11016" max="11016" width="0" style="39" hidden="1" customWidth="1"/>
    <col min="11017" max="11017" width="10" style="39" customWidth="1"/>
    <col min="11018" max="11018" width="9.85546875" style="39" customWidth="1"/>
    <col min="11019" max="11019" width="0" style="39" hidden="1" customWidth="1"/>
    <col min="11020" max="11020" width="9.85546875" style="39" customWidth="1"/>
    <col min="11021" max="11021" width="10.7109375" style="39" customWidth="1"/>
    <col min="11022" max="11022" width="10" style="39" bestFit="1" customWidth="1"/>
    <col min="11023" max="11024" width="9.42578125" style="39" customWidth="1"/>
    <col min="11025" max="11267" width="8.85546875" style="39"/>
    <col min="11268" max="11268" width="4.28515625" style="39" customWidth="1"/>
    <col min="11269" max="11269" width="8.85546875" style="39" customWidth="1"/>
    <col min="11270" max="11270" width="60.5703125" style="39" customWidth="1"/>
    <col min="11271" max="11271" width="5.85546875" style="39" customWidth="1"/>
    <col min="11272" max="11272" width="0" style="39" hidden="1" customWidth="1"/>
    <col min="11273" max="11273" width="10" style="39" customWidth="1"/>
    <col min="11274" max="11274" width="9.85546875" style="39" customWidth="1"/>
    <col min="11275" max="11275" width="0" style="39" hidden="1" customWidth="1"/>
    <col min="11276" max="11276" width="9.85546875" style="39" customWidth="1"/>
    <col min="11277" max="11277" width="10.7109375" style="39" customWidth="1"/>
    <col min="11278" max="11278" width="10" style="39" bestFit="1" customWidth="1"/>
    <col min="11279" max="11280" width="9.42578125" style="39" customWidth="1"/>
    <col min="11281" max="11523" width="8.85546875" style="39"/>
    <col min="11524" max="11524" width="4.28515625" style="39" customWidth="1"/>
    <col min="11525" max="11525" width="8.85546875" style="39" customWidth="1"/>
    <col min="11526" max="11526" width="60.5703125" style="39" customWidth="1"/>
    <col min="11527" max="11527" width="5.85546875" style="39" customWidth="1"/>
    <col min="11528" max="11528" width="0" style="39" hidden="1" customWidth="1"/>
    <col min="11529" max="11529" width="10" style="39" customWidth="1"/>
    <col min="11530" max="11530" width="9.85546875" style="39" customWidth="1"/>
    <col min="11531" max="11531" width="0" style="39" hidden="1" customWidth="1"/>
    <col min="11532" max="11532" width="9.85546875" style="39" customWidth="1"/>
    <col min="11533" max="11533" width="10.7109375" style="39" customWidth="1"/>
    <col min="11534" max="11534" width="10" style="39" bestFit="1" customWidth="1"/>
    <col min="11535" max="11536" width="9.42578125" style="39" customWidth="1"/>
    <col min="11537" max="11779" width="8.85546875" style="39"/>
    <col min="11780" max="11780" width="4.28515625" style="39" customWidth="1"/>
    <col min="11781" max="11781" width="8.85546875" style="39" customWidth="1"/>
    <col min="11782" max="11782" width="60.5703125" style="39" customWidth="1"/>
    <col min="11783" max="11783" width="5.85546875" style="39" customWidth="1"/>
    <col min="11784" max="11784" width="0" style="39" hidden="1" customWidth="1"/>
    <col min="11785" max="11785" width="10" style="39" customWidth="1"/>
    <col min="11786" max="11786" width="9.85546875" style="39" customWidth="1"/>
    <col min="11787" max="11787" width="0" style="39" hidden="1" customWidth="1"/>
    <col min="11788" max="11788" width="9.85546875" style="39" customWidth="1"/>
    <col min="11789" max="11789" width="10.7109375" style="39" customWidth="1"/>
    <col min="11790" max="11790" width="10" style="39" bestFit="1" customWidth="1"/>
    <col min="11791" max="11792" width="9.42578125" style="39" customWidth="1"/>
    <col min="11793" max="12035" width="8.85546875" style="39"/>
    <col min="12036" max="12036" width="4.28515625" style="39" customWidth="1"/>
    <col min="12037" max="12037" width="8.85546875" style="39" customWidth="1"/>
    <col min="12038" max="12038" width="60.5703125" style="39" customWidth="1"/>
    <col min="12039" max="12039" width="5.85546875" style="39" customWidth="1"/>
    <col min="12040" max="12040" width="0" style="39" hidden="1" customWidth="1"/>
    <col min="12041" max="12041" width="10" style="39" customWidth="1"/>
    <col min="12042" max="12042" width="9.85546875" style="39" customWidth="1"/>
    <col min="12043" max="12043" width="0" style="39" hidden="1" customWidth="1"/>
    <col min="12044" max="12044" width="9.85546875" style="39" customWidth="1"/>
    <col min="12045" max="12045" width="10.7109375" style="39" customWidth="1"/>
    <col min="12046" max="12046" width="10" style="39" bestFit="1" customWidth="1"/>
    <col min="12047" max="12048" width="9.42578125" style="39" customWidth="1"/>
    <col min="12049" max="12291" width="8.85546875" style="39"/>
    <col min="12292" max="12292" width="4.28515625" style="39" customWidth="1"/>
    <col min="12293" max="12293" width="8.85546875" style="39" customWidth="1"/>
    <col min="12294" max="12294" width="60.5703125" style="39" customWidth="1"/>
    <col min="12295" max="12295" width="5.85546875" style="39" customWidth="1"/>
    <col min="12296" max="12296" width="0" style="39" hidden="1" customWidth="1"/>
    <col min="12297" max="12297" width="10" style="39" customWidth="1"/>
    <col min="12298" max="12298" width="9.85546875" style="39" customWidth="1"/>
    <col min="12299" max="12299" width="0" style="39" hidden="1" customWidth="1"/>
    <col min="12300" max="12300" width="9.85546875" style="39" customWidth="1"/>
    <col min="12301" max="12301" width="10.7109375" style="39" customWidth="1"/>
    <col min="12302" max="12302" width="10" style="39" bestFit="1" customWidth="1"/>
    <col min="12303" max="12304" width="9.42578125" style="39" customWidth="1"/>
    <col min="12305" max="12547" width="8.85546875" style="39"/>
    <col min="12548" max="12548" width="4.28515625" style="39" customWidth="1"/>
    <col min="12549" max="12549" width="8.85546875" style="39" customWidth="1"/>
    <col min="12550" max="12550" width="60.5703125" style="39" customWidth="1"/>
    <col min="12551" max="12551" width="5.85546875" style="39" customWidth="1"/>
    <col min="12552" max="12552" width="0" style="39" hidden="1" customWidth="1"/>
    <col min="12553" max="12553" width="10" style="39" customWidth="1"/>
    <col min="12554" max="12554" width="9.85546875" style="39" customWidth="1"/>
    <col min="12555" max="12555" width="0" style="39" hidden="1" customWidth="1"/>
    <col min="12556" max="12556" width="9.85546875" style="39" customWidth="1"/>
    <col min="12557" max="12557" width="10.7109375" style="39" customWidth="1"/>
    <col min="12558" max="12558" width="10" style="39" bestFit="1" customWidth="1"/>
    <col min="12559" max="12560" width="9.42578125" style="39" customWidth="1"/>
    <col min="12561" max="12803" width="8.85546875" style="39"/>
    <col min="12804" max="12804" width="4.28515625" style="39" customWidth="1"/>
    <col min="12805" max="12805" width="8.85546875" style="39" customWidth="1"/>
    <col min="12806" max="12806" width="60.5703125" style="39" customWidth="1"/>
    <col min="12807" max="12807" width="5.85546875" style="39" customWidth="1"/>
    <col min="12808" max="12808" width="0" style="39" hidden="1" customWidth="1"/>
    <col min="12809" max="12809" width="10" style="39" customWidth="1"/>
    <col min="12810" max="12810" width="9.85546875" style="39" customWidth="1"/>
    <col min="12811" max="12811" width="0" style="39" hidden="1" customWidth="1"/>
    <col min="12812" max="12812" width="9.85546875" style="39" customWidth="1"/>
    <col min="12813" max="12813" width="10.7109375" style="39" customWidth="1"/>
    <col min="12814" max="12814" width="10" style="39" bestFit="1" customWidth="1"/>
    <col min="12815" max="12816" width="9.42578125" style="39" customWidth="1"/>
    <col min="12817" max="13059" width="8.85546875" style="39"/>
    <col min="13060" max="13060" width="4.28515625" style="39" customWidth="1"/>
    <col min="13061" max="13061" width="8.85546875" style="39" customWidth="1"/>
    <col min="13062" max="13062" width="60.5703125" style="39" customWidth="1"/>
    <col min="13063" max="13063" width="5.85546875" style="39" customWidth="1"/>
    <col min="13064" max="13064" width="0" style="39" hidden="1" customWidth="1"/>
    <col min="13065" max="13065" width="10" style="39" customWidth="1"/>
    <col min="13066" max="13066" width="9.85546875" style="39" customWidth="1"/>
    <col min="13067" max="13067" width="0" style="39" hidden="1" customWidth="1"/>
    <col min="13068" max="13068" width="9.85546875" style="39" customWidth="1"/>
    <col min="13069" max="13069" width="10.7109375" style="39" customWidth="1"/>
    <col min="13070" max="13070" width="10" style="39" bestFit="1" customWidth="1"/>
    <col min="13071" max="13072" width="9.42578125" style="39" customWidth="1"/>
    <col min="13073" max="13315" width="8.85546875" style="39"/>
    <col min="13316" max="13316" width="4.28515625" style="39" customWidth="1"/>
    <col min="13317" max="13317" width="8.85546875" style="39" customWidth="1"/>
    <col min="13318" max="13318" width="60.5703125" style="39" customWidth="1"/>
    <col min="13319" max="13319" width="5.85546875" style="39" customWidth="1"/>
    <col min="13320" max="13320" width="0" style="39" hidden="1" customWidth="1"/>
    <col min="13321" max="13321" width="10" style="39" customWidth="1"/>
    <col min="13322" max="13322" width="9.85546875" style="39" customWidth="1"/>
    <col min="13323" max="13323" width="0" style="39" hidden="1" customWidth="1"/>
    <col min="13324" max="13324" width="9.85546875" style="39" customWidth="1"/>
    <col min="13325" max="13325" width="10.7109375" style="39" customWidth="1"/>
    <col min="13326" max="13326" width="10" style="39" bestFit="1" customWidth="1"/>
    <col min="13327" max="13328" width="9.42578125" style="39" customWidth="1"/>
    <col min="13329" max="13571" width="8.85546875" style="39"/>
    <col min="13572" max="13572" width="4.28515625" style="39" customWidth="1"/>
    <col min="13573" max="13573" width="8.85546875" style="39" customWidth="1"/>
    <col min="13574" max="13574" width="60.5703125" style="39" customWidth="1"/>
    <col min="13575" max="13575" width="5.85546875" style="39" customWidth="1"/>
    <col min="13576" max="13576" width="0" style="39" hidden="1" customWidth="1"/>
    <col min="13577" max="13577" width="10" style="39" customWidth="1"/>
    <col min="13578" max="13578" width="9.85546875" style="39" customWidth="1"/>
    <col min="13579" max="13579" width="0" style="39" hidden="1" customWidth="1"/>
    <col min="13580" max="13580" width="9.85546875" style="39" customWidth="1"/>
    <col min="13581" max="13581" width="10.7109375" style="39" customWidth="1"/>
    <col min="13582" max="13582" width="10" style="39" bestFit="1" customWidth="1"/>
    <col min="13583" max="13584" width="9.42578125" style="39" customWidth="1"/>
    <col min="13585" max="13827" width="8.85546875" style="39"/>
    <col min="13828" max="13828" width="4.28515625" style="39" customWidth="1"/>
    <col min="13829" max="13829" width="8.85546875" style="39" customWidth="1"/>
    <col min="13830" max="13830" width="60.5703125" style="39" customWidth="1"/>
    <col min="13831" max="13831" width="5.85546875" style="39" customWidth="1"/>
    <col min="13832" max="13832" width="0" style="39" hidden="1" customWidth="1"/>
    <col min="13833" max="13833" width="10" style="39" customWidth="1"/>
    <col min="13834" max="13834" width="9.85546875" style="39" customWidth="1"/>
    <col min="13835" max="13835" width="0" style="39" hidden="1" customWidth="1"/>
    <col min="13836" max="13836" width="9.85546875" style="39" customWidth="1"/>
    <col min="13837" max="13837" width="10.7109375" style="39" customWidth="1"/>
    <col min="13838" max="13838" width="10" style="39" bestFit="1" customWidth="1"/>
    <col min="13839" max="13840" width="9.42578125" style="39" customWidth="1"/>
    <col min="13841" max="14083" width="8.85546875" style="39"/>
    <col min="14084" max="14084" width="4.28515625" style="39" customWidth="1"/>
    <col min="14085" max="14085" width="8.85546875" style="39" customWidth="1"/>
    <col min="14086" max="14086" width="60.5703125" style="39" customWidth="1"/>
    <col min="14087" max="14087" width="5.85546875" style="39" customWidth="1"/>
    <col min="14088" max="14088" width="0" style="39" hidden="1" customWidth="1"/>
    <col min="14089" max="14089" width="10" style="39" customWidth="1"/>
    <col min="14090" max="14090" width="9.85546875" style="39" customWidth="1"/>
    <col min="14091" max="14091" width="0" style="39" hidden="1" customWidth="1"/>
    <col min="14092" max="14092" width="9.85546875" style="39" customWidth="1"/>
    <col min="14093" max="14093" width="10.7109375" style="39" customWidth="1"/>
    <col min="14094" max="14094" width="10" style="39" bestFit="1" customWidth="1"/>
    <col min="14095" max="14096" width="9.42578125" style="39" customWidth="1"/>
    <col min="14097" max="14339" width="8.85546875" style="39"/>
    <col min="14340" max="14340" width="4.28515625" style="39" customWidth="1"/>
    <col min="14341" max="14341" width="8.85546875" style="39" customWidth="1"/>
    <col min="14342" max="14342" width="60.5703125" style="39" customWidth="1"/>
    <col min="14343" max="14343" width="5.85546875" style="39" customWidth="1"/>
    <col min="14344" max="14344" width="0" style="39" hidden="1" customWidth="1"/>
    <col min="14345" max="14345" width="10" style="39" customWidth="1"/>
    <col min="14346" max="14346" width="9.85546875" style="39" customWidth="1"/>
    <col min="14347" max="14347" width="0" style="39" hidden="1" customWidth="1"/>
    <col min="14348" max="14348" width="9.85546875" style="39" customWidth="1"/>
    <col min="14349" max="14349" width="10.7109375" style="39" customWidth="1"/>
    <col min="14350" max="14350" width="10" style="39" bestFit="1" customWidth="1"/>
    <col min="14351" max="14352" width="9.42578125" style="39" customWidth="1"/>
    <col min="14353" max="14595" width="8.85546875" style="39"/>
    <col min="14596" max="14596" width="4.28515625" style="39" customWidth="1"/>
    <col min="14597" max="14597" width="8.85546875" style="39" customWidth="1"/>
    <col min="14598" max="14598" width="60.5703125" style="39" customWidth="1"/>
    <col min="14599" max="14599" width="5.85546875" style="39" customWidth="1"/>
    <col min="14600" max="14600" width="0" style="39" hidden="1" customWidth="1"/>
    <col min="14601" max="14601" width="10" style="39" customWidth="1"/>
    <col min="14602" max="14602" width="9.85546875" style="39" customWidth="1"/>
    <col min="14603" max="14603" width="0" style="39" hidden="1" customWidth="1"/>
    <col min="14604" max="14604" width="9.85546875" style="39" customWidth="1"/>
    <col min="14605" max="14605" width="10.7109375" style="39" customWidth="1"/>
    <col min="14606" max="14606" width="10" style="39" bestFit="1" customWidth="1"/>
    <col min="14607" max="14608" width="9.42578125" style="39" customWidth="1"/>
    <col min="14609" max="14851" width="8.85546875" style="39"/>
    <col min="14852" max="14852" width="4.28515625" style="39" customWidth="1"/>
    <col min="14853" max="14853" width="8.85546875" style="39" customWidth="1"/>
    <col min="14854" max="14854" width="60.5703125" style="39" customWidth="1"/>
    <col min="14855" max="14855" width="5.85546875" style="39" customWidth="1"/>
    <col min="14856" max="14856" width="0" style="39" hidden="1" customWidth="1"/>
    <col min="14857" max="14857" width="10" style="39" customWidth="1"/>
    <col min="14858" max="14858" width="9.85546875" style="39" customWidth="1"/>
    <col min="14859" max="14859" width="0" style="39" hidden="1" customWidth="1"/>
    <col min="14860" max="14860" width="9.85546875" style="39" customWidth="1"/>
    <col min="14861" max="14861" width="10.7109375" style="39" customWidth="1"/>
    <col min="14862" max="14862" width="10" style="39" bestFit="1" customWidth="1"/>
    <col min="14863" max="14864" width="9.42578125" style="39" customWidth="1"/>
    <col min="14865" max="15107" width="8.85546875" style="39"/>
    <col min="15108" max="15108" width="4.28515625" style="39" customWidth="1"/>
    <col min="15109" max="15109" width="8.85546875" style="39" customWidth="1"/>
    <col min="15110" max="15110" width="60.5703125" style="39" customWidth="1"/>
    <col min="15111" max="15111" width="5.85546875" style="39" customWidth="1"/>
    <col min="15112" max="15112" width="0" style="39" hidden="1" customWidth="1"/>
    <col min="15113" max="15113" width="10" style="39" customWidth="1"/>
    <col min="15114" max="15114" width="9.85546875" style="39" customWidth="1"/>
    <col min="15115" max="15115" width="0" style="39" hidden="1" customWidth="1"/>
    <col min="15116" max="15116" width="9.85546875" style="39" customWidth="1"/>
    <col min="15117" max="15117" width="10.7109375" style="39" customWidth="1"/>
    <col min="15118" max="15118" width="10" style="39" bestFit="1" customWidth="1"/>
    <col min="15119" max="15120" width="9.42578125" style="39" customWidth="1"/>
    <col min="15121" max="15363" width="8.85546875" style="39"/>
    <col min="15364" max="15364" width="4.28515625" style="39" customWidth="1"/>
    <col min="15365" max="15365" width="8.85546875" style="39" customWidth="1"/>
    <col min="15366" max="15366" width="60.5703125" style="39" customWidth="1"/>
    <col min="15367" max="15367" width="5.85546875" style="39" customWidth="1"/>
    <col min="15368" max="15368" width="0" style="39" hidden="1" customWidth="1"/>
    <col min="15369" max="15369" width="10" style="39" customWidth="1"/>
    <col min="15370" max="15370" width="9.85546875" style="39" customWidth="1"/>
    <col min="15371" max="15371" width="0" style="39" hidden="1" customWidth="1"/>
    <col min="15372" max="15372" width="9.85546875" style="39" customWidth="1"/>
    <col min="15373" max="15373" width="10.7109375" style="39" customWidth="1"/>
    <col min="15374" max="15374" width="10" style="39" bestFit="1" customWidth="1"/>
    <col min="15375" max="15376" width="9.42578125" style="39" customWidth="1"/>
    <col min="15377" max="15619" width="8.85546875" style="39"/>
    <col min="15620" max="15620" width="4.28515625" style="39" customWidth="1"/>
    <col min="15621" max="15621" width="8.85546875" style="39" customWidth="1"/>
    <col min="15622" max="15622" width="60.5703125" style="39" customWidth="1"/>
    <col min="15623" max="15623" width="5.85546875" style="39" customWidth="1"/>
    <col min="15624" max="15624" width="0" style="39" hidden="1" customWidth="1"/>
    <col min="15625" max="15625" width="10" style="39" customWidth="1"/>
    <col min="15626" max="15626" width="9.85546875" style="39" customWidth="1"/>
    <col min="15627" max="15627" width="0" style="39" hidden="1" customWidth="1"/>
    <col min="15628" max="15628" width="9.85546875" style="39" customWidth="1"/>
    <col min="15629" max="15629" width="10.7109375" style="39" customWidth="1"/>
    <col min="15630" max="15630" width="10" style="39" bestFit="1" customWidth="1"/>
    <col min="15631" max="15632" width="9.42578125" style="39" customWidth="1"/>
    <col min="15633" max="15875" width="8.85546875" style="39"/>
    <col min="15876" max="15876" width="4.28515625" style="39" customWidth="1"/>
    <col min="15877" max="15877" width="8.85546875" style="39" customWidth="1"/>
    <col min="15878" max="15878" width="60.5703125" style="39" customWidth="1"/>
    <col min="15879" max="15879" width="5.85546875" style="39" customWidth="1"/>
    <col min="15880" max="15880" width="0" style="39" hidden="1" customWidth="1"/>
    <col min="15881" max="15881" width="10" style="39" customWidth="1"/>
    <col min="15882" max="15882" width="9.85546875" style="39" customWidth="1"/>
    <col min="15883" max="15883" width="0" style="39" hidden="1" customWidth="1"/>
    <col min="15884" max="15884" width="9.85546875" style="39" customWidth="1"/>
    <col min="15885" max="15885" width="10.7109375" style="39" customWidth="1"/>
    <col min="15886" max="15886" width="10" style="39" bestFit="1" customWidth="1"/>
    <col min="15887" max="15888" width="9.42578125" style="39" customWidth="1"/>
    <col min="15889" max="16131" width="8.85546875" style="39"/>
    <col min="16132" max="16132" width="4.28515625" style="39" customWidth="1"/>
    <col min="16133" max="16133" width="8.85546875" style="39" customWidth="1"/>
    <col min="16134" max="16134" width="60.5703125" style="39" customWidth="1"/>
    <col min="16135" max="16135" width="5.85546875" style="39" customWidth="1"/>
    <col min="16136" max="16136" width="0" style="39" hidden="1" customWidth="1"/>
    <col min="16137" max="16137" width="10" style="39" customWidth="1"/>
    <col min="16138" max="16138" width="9.85546875" style="39" customWidth="1"/>
    <col min="16139" max="16139" width="0" style="39" hidden="1" customWidth="1"/>
    <col min="16140" max="16140" width="9.85546875" style="39" customWidth="1"/>
    <col min="16141" max="16141" width="10.7109375" style="39" customWidth="1"/>
    <col min="16142" max="16142" width="10" style="39" bestFit="1" customWidth="1"/>
    <col min="16143" max="16144" width="9.42578125" style="39" customWidth="1"/>
    <col min="16145" max="16383" width="8.85546875" style="39"/>
    <col min="16384" max="16384" width="9.140625" style="39" customWidth="1"/>
  </cols>
  <sheetData>
    <row r="1" spans="1:20">
      <c r="R1" s="156" t="s">
        <v>222</v>
      </c>
    </row>
    <row r="2" spans="1:20">
      <c r="R2" s="157" t="s">
        <v>248</v>
      </c>
    </row>
    <row r="3" spans="1:20">
      <c r="R3" s="156" t="s">
        <v>262</v>
      </c>
    </row>
    <row r="4" spans="1:20">
      <c r="A4" s="103" t="s">
        <v>174</v>
      </c>
      <c r="B4" s="103" t="s">
        <v>174</v>
      </c>
      <c r="R4" s="156" t="s">
        <v>263</v>
      </c>
      <c r="T4" s="102"/>
    </row>
    <row r="5" spans="1:20">
      <c r="R5" s="158" t="s">
        <v>253</v>
      </c>
      <c r="T5" s="101"/>
    </row>
    <row r="6" spans="1:20" ht="12" customHeight="1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100"/>
    </row>
    <row r="7" spans="1:20">
      <c r="A7" s="165" t="s">
        <v>173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</row>
    <row r="8" spans="1:20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</row>
    <row r="9" spans="1:20" ht="24.6" customHeight="1">
      <c r="A9" s="95" t="s">
        <v>0</v>
      </c>
      <c r="B9" s="95" t="s">
        <v>172</v>
      </c>
      <c r="C9" s="166" t="s">
        <v>171</v>
      </c>
      <c r="D9" s="166"/>
      <c r="E9" s="99" t="s">
        <v>170</v>
      </c>
      <c r="F9" s="99" t="s">
        <v>169</v>
      </c>
      <c r="G9" s="167" t="s">
        <v>168</v>
      </c>
      <c r="H9" s="98" t="s">
        <v>167</v>
      </c>
      <c r="I9" s="167" t="s">
        <v>166</v>
      </c>
      <c r="J9" s="167" t="s">
        <v>165</v>
      </c>
      <c r="K9" s="167" t="s">
        <v>164</v>
      </c>
      <c r="L9" s="168" t="s">
        <v>163</v>
      </c>
      <c r="M9" s="167" t="s">
        <v>162</v>
      </c>
      <c r="N9" s="172" t="s">
        <v>161</v>
      </c>
      <c r="O9" s="172" t="s">
        <v>160</v>
      </c>
      <c r="P9" s="173" t="s">
        <v>159</v>
      </c>
      <c r="Q9" s="173" t="s">
        <v>158</v>
      </c>
      <c r="R9" s="173" t="s">
        <v>157</v>
      </c>
      <c r="S9" s="169" t="s">
        <v>156</v>
      </c>
      <c r="T9" s="171" t="s">
        <v>155</v>
      </c>
    </row>
    <row r="10" spans="1:20" ht="29.45" customHeight="1">
      <c r="A10" s="95"/>
      <c r="B10" s="95"/>
      <c r="C10" s="166"/>
      <c r="D10" s="166"/>
      <c r="E10" s="99"/>
      <c r="F10" s="99"/>
      <c r="G10" s="167"/>
      <c r="H10" s="98"/>
      <c r="I10" s="167"/>
      <c r="J10" s="167"/>
      <c r="K10" s="167"/>
      <c r="L10" s="168"/>
      <c r="M10" s="167"/>
      <c r="N10" s="172"/>
      <c r="O10" s="172"/>
      <c r="P10" s="173"/>
      <c r="Q10" s="173"/>
      <c r="R10" s="173"/>
      <c r="S10" s="170"/>
      <c r="T10" s="171"/>
    </row>
    <row r="11" spans="1:20">
      <c r="A11" s="95">
        <v>1</v>
      </c>
      <c r="B11" s="95">
        <v>2</v>
      </c>
      <c r="C11" s="96">
        <v>3</v>
      </c>
      <c r="D11" s="96">
        <v>4</v>
      </c>
      <c r="E11" s="95">
        <v>5</v>
      </c>
      <c r="F11" s="96">
        <v>6</v>
      </c>
      <c r="G11" s="95">
        <v>5</v>
      </c>
      <c r="H11" s="95"/>
      <c r="I11" s="96">
        <v>5</v>
      </c>
      <c r="J11" s="96">
        <v>6</v>
      </c>
      <c r="K11" s="96">
        <v>8</v>
      </c>
      <c r="L11" s="96">
        <v>9</v>
      </c>
      <c r="M11" s="96">
        <v>7</v>
      </c>
      <c r="N11" s="95">
        <v>8</v>
      </c>
      <c r="O11" s="95">
        <v>9</v>
      </c>
      <c r="P11" s="95"/>
      <c r="Q11" s="97"/>
      <c r="R11" s="97"/>
      <c r="S11" s="96">
        <v>10</v>
      </c>
      <c r="T11" s="95">
        <v>11</v>
      </c>
    </row>
    <row r="12" spans="1:20">
      <c r="A12" s="46">
        <v>1</v>
      </c>
      <c r="B12" s="91">
        <v>11111</v>
      </c>
      <c r="C12" s="94" t="s">
        <v>154</v>
      </c>
      <c r="D12" s="74">
        <v>100</v>
      </c>
      <c r="E12" s="52">
        <v>209040</v>
      </c>
      <c r="F12" s="52">
        <f>202397.82138+535.37797</f>
        <v>202933.19935000001</v>
      </c>
      <c r="G12" s="65">
        <v>252000</v>
      </c>
      <c r="H12" s="65">
        <v>256000</v>
      </c>
      <c r="I12" s="65">
        <f>264184.37091-674.96876</f>
        <v>263509.40214999998</v>
      </c>
      <c r="J12" s="65">
        <v>265678</v>
      </c>
      <c r="K12" s="65">
        <v>346066.7</v>
      </c>
      <c r="L12" s="65">
        <v>346066.7</v>
      </c>
      <c r="M12" s="65">
        <f>374956.05956-914.30826</f>
        <v>374041.7513</v>
      </c>
      <c r="N12" s="64">
        <v>361232</v>
      </c>
      <c r="O12" s="64">
        <f>418700-916</f>
        <v>417784</v>
      </c>
      <c r="P12" s="64">
        <v>459674</v>
      </c>
      <c r="Q12" s="53">
        <f>468042.3+90</f>
        <v>468132.3</v>
      </c>
      <c r="R12" s="53">
        <f>Q12-P12</f>
        <v>8458.2999999999884</v>
      </c>
      <c r="S12" s="64">
        <v>487663</v>
      </c>
      <c r="T12" s="64">
        <v>510583</v>
      </c>
    </row>
    <row r="13" spans="1:20">
      <c r="A13" s="46">
        <v>2</v>
      </c>
      <c r="B13" s="46">
        <v>11122100</v>
      </c>
      <c r="C13" s="49" t="s">
        <v>153</v>
      </c>
      <c r="D13" s="74">
        <v>100</v>
      </c>
      <c r="E13" s="52">
        <f>17500+500</f>
        <v>18000</v>
      </c>
      <c r="F13" s="52">
        <v>13998.745000000001</v>
      </c>
      <c r="G13" s="65">
        <f>17500</f>
        <v>17500</v>
      </c>
      <c r="H13" s="65">
        <v>17500</v>
      </c>
      <c r="I13" s="65">
        <v>18302.460999999999</v>
      </c>
      <c r="J13" s="65">
        <v>17500</v>
      </c>
      <c r="K13" s="65">
        <v>439.7</v>
      </c>
      <c r="L13" s="65">
        <v>1332.7</v>
      </c>
      <c r="M13" s="65">
        <v>464.07</v>
      </c>
      <c r="N13" s="64"/>
      <c r="O13" s="64"/>
      <c r="P13" s="64"/>
      <c r="Q13" s="53"/>
      <c r="R13" s="53"/>
      <c r="S13" s="64"/>
      <c r="T13" s="64"/>
    </row>
    <row r="14" spans="1:20">
      <c r="A14" s="46">
        <v>3</v>
      </c>
      <c r="B14" s="46">
        <v>11122200</v>
      </c>
      <c r="C14" s="49" t="s">
        <v>152</v>
      </c>
      <c r="D14" s="74">
        <v>100</v>
      </c>
      <c r="E14" s="52">
        <f>53500+2000+1000</f>
        <v>56500</v>
      </c>
      <c r="F14" s="52">
        <v>43668.892500000002</v>
      </c>
      <c r="G14" s="65">
        <f>53500+2000+1000</f>
        <v>56500</v>
      </c>
      <c r="H14" s="65">
        <f>53500+2000+1000</f>
        <v>56500</v>
      </c>
      <c r="I14" s="65">
        <f>55714.77838+11.9</f>
        <v>55726.678380000005</v>
      </c>
      <c r="J14" s="65">
        <v>57500</v>
      </c>
      <c r="K14" s="65"/>
      <c r="L14" s="65">
        <v>27800</v>
      </c>
      <c r="M14" s="65">
        <v>21039.004209999999</v>
      </c>
      <c r="N14" s="64"/>
      <c r="O14" s="64"/>
      <c r="P14" s="64"/>
      <c r="Q14" s="53"/>
      <c r="R14" s="53"/>
      <c r="S14" s="64"/>
      <c r="T14" s="64"/>
    </row>
    <row r="15" spans="1:20">
      <c r="A15" s="46">
        <v>4</v>
      </c>
      <c r="B15" s="46">
        <v>11122300</v>
      </c>
      <c r="C15" s="49" t="s">
        <v>151</v>
      </c>
      <c r="D15" s="74">
        <v>100</v>
      </c>
      <c r="E15" s="52"/>
      <c r="F15" s="52"/>
      <c r="G15" s="65"/>
      <c r="H15" s="65"/>
      <c r="I15" s="65"/>
      <c r="J15" s="65"/>
      <c r="K15" s="65">
        <v>58500</v>
      </c>
      <c r="L15" s="65">
        <v>29807</v>
      </c>
      <c r="M15" s="65">
        <v>41990.6561</v>
      </c>
      <c r="N15" s="64">
        <v>59220</v>
      </c>
      <c r="O15" s="64">
        <v>65690</v>
      </c>
      <c r="P15" s="64">
        <v>68000</v>
      </c>
      <c r="Q15" s="53">
        <f>50334.2+17665.8</f>
        <v>68000</v>
      </c>
      <c r="R15" s="53">
        <f>Q15-P15</f>
        <v>0</v>
      </c>
      <c r="S15" s="64">
        <v>59220</v>
      </c>
      <c r="T15" s="64">
        <v>59220</v>
      </c>
    </row>
    <row r="16" spans="1:20">
      <c r="A16" s="46">
        <v>5</v>
      </c>
      <c r="B16" s="46">
        <v>11121100</v>
      </c>
      <c r="C16" s="49" t="s">
        <v>150</v>
      </c>
      <c r="D16" s="74"/>
      <c r="E16" s="52">
        <v>1060</v>
      </c>
      <c r="F16" s="52">
        <v>1169.0413699999999</v>
      </c>
      <c r="G16" s="65">
        <v>1060</v>
      </c>
      <c r="H16" s="65">
        <v>1060</v>
      </c>
      <c r="I16" s="65">
        <v>1281.5486599999999</v>
      </c>
      <c r="J16" s="65">
        <v>1462</v>
      </c>
      <c r="K16" s="65">
        <v>42200</v>
      </c>
      <c r="L16" s="65">
        <v>42200</v>
      </c>
      <c r="M16" s="65">
        <v>50448.03067</v>
      </c>
      <c r="N16" s="64"/>
      <c r="O16" s="64"/>
      <c r="P16" s="64"/>
      <c r="Q16" s="53"/>
      <c r="R16" s="53"/>
      <c r="S16" s="93"/>
      <c r="T16" s="45"/>
    </row>
    <row r="17" spans="1:24" ht="12.75" customHeight="1">
      <c r="A17" s="46">
        <v>6</v>
      </c>
      <c r="B17" s="91">
        <v>11462</v>
      </c>
      <c r="C17" s="49" t="s">
        <v>149</v>
      </c>
      <c r="D17" s="74">
        <v>50</v>
      </c>
      <c r="E17" s="52">
        <v>1303</v>
      </c>
      <c r="F17" s="52">
        <f>4.25+15+1.5+32.8257+1008.0875</f>
        <v>1061.6632</v>
      </c>
      <c r="G17" s="65">
        <v>1200</v>
      </c>
      <c r="H17" s="65">
        <v>1200</v>
      </c>
      <c r="I17" s="65">
        <f>16.66682+1.1285+45.61949+1171.3675</f>
        <v>1234.7823100000001</v>
      </c>
      <c r="J17" s="65">
        <v>1307.9000000000001</v>
      </c>
      <c r="K17" s="65">
        <v>1307.9000000000001</v>
      </c>
      <c r="L17" s="65">
        <v>1307.9000000000001</v>
      </c>
      <c r="M17" s="65">
        <f>0.25+46.54534+1481.6075</f>
        <v>1528.40284</v>
      </c>
      <c r="N17" s="65">
        <v>1310</v>
      </c>
      <c r="O17" s="65">
        <v>1600</v>
      </c>
      <c r="P17" s="65">
        <v>1600</v>
      </c>
      <c r="Q17" s="92">
        <v>1830</v>
      </c>
      <c r="R17" s="53">
        <f t="shared" ref="R17:R20" si="0">Q17-P17</f>
        <v>230</v>
      </c>
      <c r="S17" s="65">
        <v>1310</v>
      </c>
      <c r="T17" s="45">
        <v>1310</v>
      </c>
    </row>
    <row r="18" spans="1:24" ht="13.5">
      <c r="A18" s="46"/>
      <c r="B18" s="51"/>
      <c r="C18" s="90" t="s">
        <v>148</v>
      </c>
      <c r="D18" s="90"/>
      <c r="E18" s="87">
        <f t="shared" ref="E18:T18" si="1">SUM(E12:E17)</f>
        <v>285903</v>
      </c>
      <c r="F18" s="87">
        <f t="shared" si="1"/>
        <v>262831.54142000002</v>
      </c>
      <c r="G18" s="86">
        <f t="shared" si="1"/>
        <v>328260</v>
      </c>
      <c r="H18" s="86">
        <f t="shared" si="1"/>
        <v>332260</v>
      </c>
      <c r="I18" s="86">
        <f t="shared" si="1"/>
        <v>340054.87249999994</v>
      </c>
      <c r="J18" s="86">
        <f t="shared" si="1"/>
        <v>343447.9</v>
      </c>
      <c r="K18" s="86">
        <f t="shared" si="1"/>
        <v>448514.30000000005</v>
      </c>
      <c r="L18" s="86">
        <f t="shared" si="1"/>
        <v>448514.30000000005</v>
      </c>
      <c r="M18" s="86">
        <f t="shared" si="1"/>
        <v>489511.91512000002</v>
      </c>
      <c r="N18" s="84">
        <f t="shared" si="1"/>
        <v>421762</v>
      </c>
      <c r="O18" s="84">
        <f t="shared" si="1"/>
        <v>485074</v>
      </c>
      <c r="P18" s="84">
        <f t="shared" si="1"/>
        <v>529274</v>
      </c>
      <c r="Q18" s="85">
        <f t="shared" si="1"/>
        <v>537962.30000000005</v>
      </c>
      <c r="R18" s="85">
        <f t="shared" si="1"/>
        <v>8688.2999999999884</v>
      </c>
      <c r="S18" s="84">
        <f t="shared" si="1"/>
        <v>548193</v>
      </c>
      <c r="T18" s="84">
        <f t="shared" si="1"/>
        <v>571113</v>
      </c>
    </row>
    <row r="19" spans="1:24">
      <c r="A19" s="46">
        <v>7</v>
      </c>
      <c r="B19" s="46">
        <v>11311100</v>
      </c>
      <c r="C19" s="49" t="s">
        <v>147</v>
      </c>
      <c r="D19" s="74">
        <v>100</v>
      </c>
      <c r="E19" s="52">
        <v>340</v>
      </c>
      <c r="F19" s="52">
        <v>647.85234000000003</v>
      </c>
      <c r="G19" s="65">
        <v>380</v>
      </c>
      <c r="H19" s="65">
        <v>650</v>
      </c>
      <c r="I19" s="65">
        <v>813.58950000000004</v>
      </c>
      <c r="J19" s="65">
        <v>650</v>
      </c>
      <c r="K19" s="65">
        <v>650</v>
      </c>
      <c r="L19" s="65">
        <v>650</v>
      </c>
      <c r="M19" s="65">
        <v>1277.27385</v>
      </c>
      <c r="N19" s="64">
        <v>670</v>
      </c>
      <c r="O19" s="64">
        <v>1300</v>
      </c>
      <c r="P19" s="64">
        <v>1300</v>
      </c>
      <c r="Q19" s="53">
        <v>3150</v>
      </c>
      <c r="R19" s="53">
        <f t="shared" si="0"/>
        <v>1850</v>
      </c>
      <c r="S19" s="64">
        <v>700</v>
      </c>
      <c r="T19" s="64">
        <v>900</v>
      </c>
    </row>
    <row r="20" spans="1:24">
      <c r="A20" s="46">
        <v>8</v>
      </c>
      <c r="B20" s="46">
        <v>11311200</v>
      </c>
      <c r="C20" s="49" t="s">
        <v>146</v>
      </c>
      <c r="D20" s="74">
        <v>100</v>
      </c>
      <c r="E20" s="52">
        <v>21760</v>
      </c>
      <c r="F20" s="52">
        <v>23859.74639</v>
      </c>
      <c r="G20" s="65">
        <v>22500</v>
      </c>
      <c r="H20" s="65">
        <v>23300</v>
      </c>
      <c r="I20" s="65">
        <v>27151.50346</v>
      </c>
      <c r="J20" s="65">
        <v>24873.8</v>
      </c>
      <c r="K20" s="65">
        <v>25233.8</v>
      </c>
      <c r="L20" s="65">
        <v>24873.8</v>
      </c>
      <c r="M20" s="65">
        <v>29224.872820000001</v>
      </c>
      <c r="N20" s="64">
        <v>27360</v>
      </c>
      <c r="O20" s="64">
        <v>27360</v>
      </c>
      <c r="P20" s="64">
        <v>27360</v>
      </c>
      <c r="Q20" s="53">
        <v>28530</v>
      </c>
      <c r="R20" s="53">
        <f t="shared" si="0"/>
        <v>1170</v>
      </c>
      <c r="S20" s="64">
        <v>27360</v>
      </c>
      <c r="T20" s="64">
        <v>27360</v>
      </c>
    </row>
    <row r="21" spans="1:24">
      <c r="A21" s="46">
        <v>9</v>
      </c>
      <c r="B21" s="46">
        <v>11311300</v>
      </c>
      <c r="C21" s="49" t="s">
        <v>145</v>
      </c>
      <c r="D21" s="74">
        <v>100</v>
      </c>
      <c r="E21" s="52">
        <v>300</v>
      </c>
      <c r="F21" s="52">
        <v>334.10081000000002</v>
      </c>
      <c r="G21" s="65">
        <v>360</v>
      </c>
      <c r="H21" s="65">
        <v>360</v>
      </c>
      <c r="I21" s="65">
        <v>362.74045000000001</v>
      </c>
      <c r="J21" s="65">
        <v>360</v>
      </c>
      <c r="K21" s="65"/>
      <c r="L21" s="65">
        <v>360</v>
      </c>
      <c r="M21" s="65">
        <v>422.09884</v>
      </c>
      <c r="N21" s="64"/>
      <c r="O21" s="64"/>
      <c r="P21" s="64"/>
      <c r="Q21" s="53"/>
      <c r="R21" s="53">
        <f>Q21-P21</f>
        <v>0</v>
      </c>
      <c r="S21" s="64"/>
      <c r="T21" s="64"/>
    </row>
    <row r="22" spans="1:24">
      <c r="A22" s="46">
        <v>10</v>
      </c>
      <c r="B22" s="91">
        <v>11312</v>
      </c>
      <c r="C22" s="49" t="s">
        <v>144</v>
      </c>
      <c r="D22" s="74">
        <v>100</v>
      </c>
      <c r="E22" s="52">
        <v>10600</v>
      </c>
      <c r="F22" s="52">
        <f>1267.7299+7993.41742</f>
        <v>9261.14732</v>
      </c>
      <c r="G22" s="65">
        <f>10600-1000</f>
        <v>9600</v>
      </c>
      <c r="H22" s="65">
        <v>9600</v>
      </c>
      <c r="I22" s="65">
        <f>1615.67959+8006.26184</f>
        <v>9621.9414300000008</v>
      </c>
      <c r="J22" s="65">
        <v>9713.2999999999993</v>
      </c>
      <c r="K22" s="65">
        <v>9713.2999999999993</v>
      </c>
      <c r="L22" s="65">
        <v>9713.2999999999993</v>
      </c>
      <c r="M22" s="65">
        <f>1346.58456+10080.81688</f>
        <v>11427.40144</v>
      </c>
      <c r="N22" s="64">
        <f>1400+8420</f>
        <v>9820</v>
      </c>
      <c r="O22" s="64">
        <v>11000</v>
      </c>
      <c r="P22" s="64">
        <v>11000</v>
      </c>
      <c r="Q22" s="53">
        <v>11200</v>
      </c>
      <c r="R22" s="53">
        <f t="shared" ref="R22:R61" si="2">Q22-P22</f>
        <v>200</v>
      </c>
      <c r="S22" s="64">
        <v>9900</v>
      </c>
      <c r="T22" s="64">
        <v>10000</v>
      </c>
    </row>
    <row r="23" spans="1:24">
      <c r="A23" s="46">
        <v>11</v>
      </c>
      <c r="B23" s="46">
        <v>11321100</v>
      </c>
      <c r="C23" s="56" t="s">
        <v>143</v>
      </c>
      <c r="D23" s="74">
        <v>100</v>
      </c>
      <c r="E23" s="52">
        <v>3100</v>
      </c>
      <c r="F23" s="52">
        <v>4438.1163699999997</v>
      </c>
      <c r="G23" s="65">
        <f>3200+1000</f>
        <v>4200</v>
      </c>
      <c r="H23" s="65">
        <v>4400</v>
      </c>
      <c r="I23" s="65">
        <v>4993.6256700000004</v>
      </c>
      <c r="J23" s="65">
        <v>5100</v>
      </c>
      <c r="K23" s="65">
        <v>4400</v>
      </c>
      <c r="L23" s="65">
        <v>5100</v>
      </c>
      <c r="M23" s="65">
        <v>5686.0952500000003</v>
      </c>
      <c r="N23" s="64">
        <v>5600</v>
      </c>
      <c r="O23" s="64">
        <v>5600</v>
      </c>
      <c r="P23" s="64">
        <v>6400</v>
      </c>
      <c r="Q23" s="53">
        <v>7100</v>
      </c>
      <c r="R23" s="53">
        <f t="shared" si="2"/>
        <v>700</v>
      </c>
      <c r="S23" s="64">
        <v>5600</v>
      </c>
      <c r="T23" s="64">
        <v>5600</v>
      </c>
    </row>
    <row r="24" spans="1:24">
      <c r="A24" s="46">
        <v>12</v>
      </c>
      <c r="B24" s="46">
        <v>11321200</v>
      </c>
      <c r="C24" s="49" t="s">
        <v>142</v>
      </c>
      <c r="D24" s="74">
        <v>100</v>
      </c>
      <c r="E24" s="52">
        <v>452</v>
      </c>
      <c r="F24" s="52">
        <v>511.2715</v>
      </c>
      <c r="G24" s="65">
        <v>452</v>
      </c>
      <c r="H24" s="65">
        <v>452</v>
      </c>
      <c r="I24" s="65">
        <v>476.14850000000001</v>
      </c>
      <c r="J24" s="65">
        <v>452</v>
      </c>
      <c r="K24" s="65"/>
      <c r="L24" s="65">
        <v>45.2</v>
      </c>
      <c r="M24" s="65">
        <v>166.244</v>
      </c>
      <c r="N24" s="64"/>
      <c r="O24" s="64">
        <v>0</v>
      </c>
      <c r="P24" s="64"/>
      <c r="Q24" s="53">
        <v>50</v>
      </c>
      <c r="R24" s="53">
        <f t="shared" si="2"/>
        <v>50</v>
      </c>
      <c r="S24" s="64">
        <v>0</v>
      </c>
      <c r="T24" s="64">
        <v>452</v>
      </c>
    </row>
    <row r="25" spans="1:24" ht="25.5">
      <c r="A25" s="46">
        <v>13</v>
      </c>
      <c r="B25" s="46">
        <v>11321300</v>
      </c>
      <c r="C25" s="56" t="s">
        <v>141</v>
      </c>
      <c r="D25" s="74">
        <v>100</v>
      </c>
      <c r="E25" s="52">
        <f>16540</f>
        <v>16540</v>
      </c>
      <c r="F25" s="52">
        <v>16705.27622</v>
      </c>
      <c r="G25" s="65">
        <v>16800</v>
      </c>
      <c r="H25" s="65">
        <v>16800</v>
      </c>
      <c r="I25" s="65">
        <v>16743.137019999998</v>
      </c>
      <c r="J25" s="65">
        <v>16301.1</v>
      </c>
      <c r="K25" s="65">
        <v>16301.1</v>
      </c>
      <c r="L25" s="65">
        <v>16501.099999999999</v>
      </c>
      <c r="M25" s="65">
        <v>18442.02793</v>
      </c>
      <c r="N25" s="64">
        <v>17585.8</v>
      </c>
      <c r="O25" s="64">
        <v>17800</v>
      </c>
      <c r="P25" s="64">
        <v>17800</v>
      </c>
      <c r="Q25" s="53">
        <v>19500</v>
      </c>
      <c r="R25" s="53">
        <f t="shared" si="2"/>
        <v>1700</v>
      </c>
      <c r="S25" s="64">
        <v>17000</v>
      </c>
      <c r="T25" s="64">
        <v>17000</v>
      </c>
    </row>
    <row r="26" spans="1:24">
      <c r="A26" s="46">
        <v>14</v>
      </c>
      <c r="B26" s="46">
        <v>14224200</v>
      </c>
      <c r="C26" s="56" t="s">
        <v>140</v>
      </c>
      <c r="D26" s="74">
        <v>100</v>
      </c>
      <c r="E26" s="52">
        <v>920</v>
      </c>
      <c r="F26" s="52">
        <v>926.71461999999997</v>
      </c>
      <c r="G26" s="65">
        <v>920</v>
      </c>
      <c r="H26" s="65">
        <v>980</v>
      </c>
      <c r="I26" s="65">
        <v>989.61292000000003</v>
      </c>
      <c r="J26" s="65">
        <v>980</v>
      </c>
      <c r="K26" s="65">
        <v>980</v>
      </c>
      <c r="L26" s="65">
        <v>980</v>
      </c>
      <c r="M26" s="65">
        <v>1066.7782999999999</v>
      </c>
      <c r="N26" s="45">
        <v>1000</v>
      </c>
      <c r="O26" s="64">
        <v>1000</v>
      </c>
      <c r="P26" s="64">
        <v>1000</v>
      </c>
      <c r="Q26" s="53">
        <v>1050</v>
      </c>
      <c r="R26" s="53">
        <f t="shared" si="2"/>
        <v>50</v>
      </c>
      <c r="S26" s="64">
        <v>1000</v>
      </c>
      <c r="T26" s="64">
        <v>1000</v>
      </c>
    </row>
    <row r="27" spans="1:24" ht="36">
      <c r="A27" s="46">
        <v>15</v>
      </c>
      <c r="B27" s="49">
        <v>14224410</v>
      </c>
      <c r="C27" s="104" t="s">
        <v>139</v>
      </c>
      <c r="D27" s="56">
        <v>100</v>
      </c>
      <c r="E27" s="52"/>
      <c r="F27" s="52">
        <v>760.5</v>
      </c>
      <c r="G27" s="65"/>
      <c r="H27" s="65">
        <v>1120</v>
      </c>
      <c r="I27" s="65">
        <v>1590</v>
      </c>
      <c r="J27" s="65"/>
      <c r="K27" s="65">
        <v>231</v>
      </c>
      <c r="L27" s="65">
        <v>231</v>
      </c>
      <c r="M27" s="65">
        <v>1041</v>
      </c>
      <c r="N27" s="64"/>
      <c r="O27" s="64"/>
      <c r="P27" s="64"/>
      <c r="Q27" s="53"/>
      <c r="R27" s="53">
        <f t="shared" si="2"/>
        <v>0</v>
      </c>
      <c r="S27" s="63"/>
      <c r="T27" s="63"/>
    </row>
    <row r="28" spans="1:24" ht="13.5" customHeight="1">
      <c r="A28" s="46">
        <v>16</v>
      </c>
      <c r="B28" s="49">
        <v>11611200</v>
      </c>
      <c r="C28" s="56" t="s">
        <v>138</v>
      </c>
      <c r="D28" s="56"/>
      <c r="E28" s="52"/>
      <c r="F28" s="52"/>
      <c r="G28" s="65"/>
      <c r="H28" s="65"/>
      <c r="I28" s="65"/>
      <c r="J28" s="65"/>
      <c r="K28" s="65"/>
      <c r="L28" s="65"/>
      <c r="M28" s="65">
        <v>1.837</v>
      </c>
      <c r="N28" s="64"/>
      <c r="O28" s="64"/>
      <c r="P28" s="64"/>
      <c r="Q28" s="53"/>
      <c r="R28" s="53">
        <f t="shared" si="2"/>
        <v>0</v>
      </c>
      <c r="S28" s="63"/>
      <c r="T28" s="63"/>
    </row>
    <row r="29" spans="1:24" ht="13.5" customHeight="1">
      <c r="A29" s="46"/>
      <c r="B29" s="51"/>
      <c r="C29" s="90" t="s">
        <v>137</v>
      </c>
      <c r="D29" s="90"/>
      <c r="E29" s="87">
        <f t="shared" ref="E29:L29" si="3">SUM(E19:E27)</f>
        <v>54012</v>
      </c>
      <c r="F29" s="87">
        <f t="shared" si="3"/>
        <v>57444.72557000001</v>
      </c>
      <c r="G29" s="87">
        <f t="shared" si="3"/>
        <v>55212</v>
      </c>
      <c r="H29" s="87">
        <f t="shared" si="3"/>
        <v>57662</v>
      </c>
      <c r="I29" s="87">
        <f t="shared" si="3"/>
        <v>62742.298950000011</v>
      </c>
      <c r="J29" s="87">
        <f t="shared" si="3"/>
        <v>58430.2</v>
      </c>
      <c r="K29" s="87">
        <f t="shared" si="3"/>
        <v>57509.2</v>
      </c>
      <c r="L29" s="87">
        <f t="shared" si="3"/>
        <v>58454.399999999994</v>
      </c>
      <c r="M29" s="87">
        <f>SUM(M19:M28)</f>
        <v>68755.629430000001</v>
      </c>
      <c r="N29" s="87">
        <f t="shared" ref="N29:T29" si="4">SUM(N19:N27)</f>
        <v>62035.8</v>
      </c>
      <c r="O29" s="87">
        <f t="shared" si="4"/>
        <v>64060</v>
      </c>
      <c r="P29" s="87">
        <f t="shared" si="4"/>
        <v>64860</v>
      </c>
      <c r="Q29" s="89">
        <f t="shared" si="4"/>
        <v>70580</v>
      </c>
      <c r="R29" s="89">
        <f t="shared" si="4"/>
        <v>5720</v>
      </c>
      <c r="S29" s="87">
        <f t="shared" si="4"/>
        <v>61560</v>
      </c>
      <c r="T29" s="87">
        <f t="shared" si="4"/>
        <v>62312</v>
      </c>
    </row>
    <row r="30" spans="1:24" ht="13.5">
      <c r="A30" s="46"/>
      <c r="B30" s="46"/>
      <c r="C30" s="88" t="s">
        <v>136</v>
      </c>
      <c r="D30" s="88"/>
      <c r="E30" s="87">
        <f t="shared" ref="E30:T30" si="5">E29+E18</f>
        <v>339915</v>
      </c>
      <c r="F30" s="87">
        <f t="shared" si="5"/>
        <v>320276.26699000003</v>
      </c>
      <c r="G30" s="86">
        <f t="shared" si="5"/>
        <v>383472</v>
      </c>
      <c r="H30" s="86">
        <f t="shared" si="5"/>
        <v>389922</v>
      </c>
      <c r="I30" s="86">
        <f t="shared" si="5"/>
        <v>402797.17144999997</v>
      </c>
      <c r="J30" s="86">
        <f t="shared" si="5"/>
        <v>401878.10000000003</v>
      </c>
      <c r="K30" s="86">
        <f t="shared" si="5"/>
        <v>506023.50000000006</v>
      </c>
      <c r="L30" s="86">
        <f t="shared" si="5"/>
        <v>506968.70000000007</v>
      </c>
      <c r="M30" s="86">
        <f t="shared" si="5"/>
        <v>558267.54454999999</v>
      </c>
      <c r="N30" s="84">
        <f t="shared" si="5"/>
        <v>483797.8</v>
      </c>
      <c r="O30" s="84">
        <f t="shared" si="5"/>
        <v>549134</v>
      </c>
      <c r="P30" s="84">
        <f t="shared" si="5"/>
        <v>594134</v>
      </c>
      <c r="Q30" s="85">
        <f t="shared" si="5"/>
        <v>608542.30000000005</v>
      </c>
      <c r="R30" s="85">
        <f t="shared" si="5"/>
        <v>14408.299999999988</v>
      </c>
      <c r="S30" s="84">
        <f t="shared" si="5"/>
        <v>609753</v>
      </c>
      <c r="T30" s="84">
        <f t="shared" si="5"/>
        <v>633425</v>
      </c>
      <c r="V30" s="40"/>
      <c r="X30" s="40"/>
    </row>
    <row r="31" spans="1:24">
      <c r="A31" s="46">
        <v>17</v>
      </c>
      <c r="B31" s="46">
        <v>14152100</v>
      </c>
      <c r="C31" s="49" t="s">
        <v>135</v>
      </c>
      <c r="D31" s="74">
        <v>100</v>
      </c>
      <c r="E31" s="52">
        <f t="shared" ref="E31:M31" si="6">SUM(E32:E34)</f>
        <v>26500</v>
      </c>
      <c r="F31" s="65">
        <f t="shared" si="6"/>
        <v>19994.953850000002</v>
      </c>
      <c r="G31" s="65">
        <f t="shared" si="6"/>
        <v>27829.3</v>
      </c>
      <c r="H31" s="65">
        <f t="shared" si="6"/>
        <v>28454</v>
      </c>
      <c r="I31" s="65">
        <f t="shared" si="6"/>
        <v>31184.7</v>
      </c>
      <c r="J31" s="65">
        <f t="shared" si="6"/>
        <v>31530.5</v>
      </c>
      <c r="K31" s="65">
        <f t="shared" si="6"/>
        <v>33630.5</v>
      </c>
      <c r="L31" s="65">
        <f t="shared" si="6"/>
        <v>33630.5</v>
      </c>
      <c r="M31" s="65">
        <f t="shared" si="6"/>
        <v>33097.4</v>
      </c>
      <c r="N31" s="64">
        <v>54025.2</v>
      </c>
      <c r="O31" s="64">
        <f>SUM(O32:O35)</f>
        <v>53641</v>
      </c>
      <c r="P31" s="64">
        <f>SUM(P32:P35)</f>
        <v>53641</v>
      </c>
      <c r="Q31" s="53">
        <f>SUM(Q32:Q35)</f>
        <v>38370.76</v>
      </c>
      <c r="R31" s="53">
        <f t="shared" si="2"/>
        <v>-15270.239999999998</v>
      </c>
      <c r="S31" s="64">
        <f>SUM(S32:S35)</f>
        <v>54682.603999999999</v>
      </c>
      <c r="T31" s="64">
        <f>SUM(T32:T35)</f>
        <v>55682.603999999999</v>
      </c>
    </row>
    <row r="32" spans="1:24">
      <c r="A32" s="46"/>
      <c r="B32" s="46"/>
      <c r="C32" s="82" t="s">
        <v>134</v>
      </c>
      <c r="D32" s="74">
        <v>100</v>
      </c>
      <c r="E32" s="81">
        <f>8500+600+100+55.6</f>
        <v>9255.6</v>
      </c>
      <c r="F32" s="52">
        <f>19994.95385-F33-F34</f>
        <v>6612.9538500000017</v>
      </c>
      <c r="G32" s="80">
        <f>9500+500+612.4</f>
        <v>10612.4</v>
      </c>
      <c r="H32" s="80">
        <v>12012.4</v>
      </c>
      <c r="I32" s="80">
        <f>14261.3-5</f>
        <v>14256.3</v>
      </c>
      <c r="J32" s="80">
        <v>14000</v>
      </c>
      <c r="K32" s="80">
        <v>15100</v>
      </c>
      <c r="L32" s="80">
        <v>15100</v>
      </c>
      <c r="M32" s="80">
        <v>16087.6</v>
      </c>
      <c r="N32" s="78"/>
      <c r="O32" s="78">
        <v>18500</v>
      </c>
      <c r="P32" s="78">
        <v>18500</v>
      </c>
      <c r="Q32" s="79">
        <v>18500</v>
      </c>
      <c r="R32" s="53">
        <f t="shared" si="2"/>
        <v>0</v>
      </c>
      <c r="S32" s="78">
        <v>17000</v>
      </c>
      <c r="T32" s="78">
        <v>18000</v>
      </c>
    </row>
    <row r="33" spans="1:22">
      <c r="A33" s="46"/>
      <c r="B33" s="46"/>
      <c r="C33" s="82" t="s">
        <v>133</v>
      </c>
      <c r="D33" s="74">
        <v>100</v>
      </c>
      <c r="E33" s="81">
        <f>7795.9+1336.1+1435.4</f>
        <v>10567.4</v>
      </c>
      <c r="F33" s="81">
        <v>8486</v>
      </c>
      <c r="G33" s="80">
        <f>7795.9+1336.1+1435.4+200</f>
        <v>10767.4</v>
      </c>
      <c r="H33" s="80">
        <v>10550.5</v>
      </c>
      <c r="I33" s="80">
        <f>10714.6+5</f>
        <v>10719.6</v>
      </c>
      <c r="J33" s="80">
        <v>10550.5</v>
      </c>
      <c r="K33" s="80">
        <v>10550.5</v>
      </c>
      <c r="L33" s="80">
        <v>10550.5</v>
      </c>
      <c r="M33" s="83">
        <v>10445</v>
      </c>
      <c r="N33" s="78"/>
      <c r="O33" s="78">
        <v>6527.5</v>
      </c>
      <c r="P33" s="78">
        <v>6527.5</v>
      </c>
      <c r="Q33" s="79">
        <f>6527.5</f>
        <v>6527.5</v>
      </c>
      <c r="R33" s="53">
        <f t="shared" si="2"/>
        <v>0</v>
      </c>
      <c r="S33" s="78">
        <f>1435.356+5494.548</f>
        <v>6929.9039999999995</v>
      </c>
      <c r="T33" s="78">
        <f>1435.356+5494.548</f>
        <v>6929.9039999999995</v>
      </c>
    </row>
    <row r="34" spans="1:22">
      <c r="A34" s="46"/>
      <c r="B34" s="46"/>
      <c r="C34" s="82" t="s">
        <v>132</v>
      </c>
      <c r="D34" s="74">
        <v>100</v>
      </c>
      <c r="E34" s="81">
        <v>6677</v>
      </c>
      <c r="F34" s="81">
        <v>4896</v>
      </c>
      <c r="G34" s="80">
        <f>6677+323-626.7+76.2</f>
        <v>6449.5</v>
      </c>
      <c r="H34" s="80">
        <v>5891.1</v>
      </c>
      <c r="I34" s="80">
        <v>6208.8</v>
      </c>
      <c r="J34" s="80">
        <v>6980</v>
      </c>
      <c r="K34" s="80">
        <v>7980</v>
      </c>
      <c r="L34" s="80">
        <v>7980</v>
      </c>
      <c r="M34" s="83">
        <v>6564.8</v>
      </c>
      <c r="N34" s="78"/>
      <c r="O34" s="78">
        <v>6892.9</v>
      </c>
      <c r="P34" s="78">
        <v>6892.9</v>
      </c>
      <c r="Q34" s="79">
        <v>6892.9</v>
      </c>
      <c r="R34" s="53">
        <f t="shared" si="2"/>
        <v>0</v>
      </c>
      <c r="S34" s="78">
        <f>7057.5</f>
        <v>7057.5</v>
      </c>
      <c r="T34" s="78">
        <f>7057.5</f>
        <v>7057.5</v>
      </c>
    </row>
    <row r="35" spans="1:22">
      <c r="A35" s="46"/>
      <c r="B35" s="46"/>
      <c r="C35" s="82" t="s">
        <v>131</v>
      </c>
      <c r="D35" s="74"/>
      <c r="E35" s="81"/>
      <c r="F35" s="81"/>
      <c r="G35" s="80"/>
      <c r="H35" s="80"/>
      <c r="I35" s="80"/>
      <c r="J35" s="80"/>
      <c r="K35" s="80"/>
      <c r="L35" s="80"/>
      <c r="M35" s="80"/>
      <c r="N35" s="78"/>
      <c r="O35" s="78">
        <v>21720.6</v>
      </c>
      <c r="P35" s="78">
        <v>21720.6</v>
      </c>
      <c r="Q35" s="79">
        <f>21720.6-15270.24</f>
        <v>6450.3599999999988</v>
      </c>
      <c r="R35" s="53">
        <f t="shared" si="2"/>
        <v>-15270.24</v>
      </c>
      <c r="S35" s="78">
        <v>23695.200000000001</v>
      </c>
      <c r="T35" s="78">
        <v>23695.200000000001</v>
      </c>
      <c r="V35" s="40"/>
    </row>
    <row r="36" spans="1:22">
      <c r="A36" s="46">
        <v>18</v>
      </c>
      <c r="B36" s="67">
        <v>14152200</v>
      </c>
      <c r="C36" s="66" t="s">
        <v>130</v>
      </c>
      <c r="D36" s="74"/>
      <c r="E36" s="52"/>
      <c r="F36" s="52"/>
      <c r="G36" s="77"/>
      <c r="H36" s="77">
        <v>60</v>
      </c>
      <c r="I36" s="77">
        <v>49.15</v>
      </c>
      <c r="J36" s="77">
        <v>60</v>
      </c>
      <c r="K36" s="77">
        <v>60</v>
      </c>
      <c r="L36" s="77">
        <v>60</v>
      </c>
      <c r="M36" s="77">
        <v>34.96</v>
      </c>
      <c r="N36" s="75">
        <v>60</v>
      </c>
      <c r="O36" s="75">
        <v>60</v>
      </c>
      <c r="P36" s="75">
        <v>60</v>
      </c>
      <c r="Q36" s="76">
        <v>60</v>
      </c>
      <c r="R36" s="53">
        <f t="shared" si="2"/>
        <v>0</v>
      </c>
      <c r="S36" s="75">
        <v>60</v>
      </c>
      <c r="T36" s="75">
        <v>60</v>
      </c>
    </row>
    <row r="37" spans="1:22" ht="25.5">
      <c r="A37" s="46">
        <v>19</v>
      </c>
      <c r="B37" s="46">
        <v>14152600</v>
      </c>
      <c r="C37" s="56" t="s">
        <v>129</v>
      </c>
      <c r="D37" s="74">
        <v>100</v>
      </c>
      <c r="E37" s="52">
        <f>600+109</f>
        <v>709</v>
      </c>
      <c r="F37" s="52">
        <v>706.49300000000005</v>
      </c>
      <c r="G37" s="65">
        <v>790</v>
      </c>
      <c r="H37" s="65">
        <v>790</v>
      </c>
      <c r="I37" s="65">
        <v>799.61800000000005</v>
      </c>
      <c r="J37" s="65">
        <v>800</v>
      </c>
      <c r="K37" s="65">
        <v>800</v>
      </c>
      <c r="L37" s="65">
        <v>800</v>
      </c>
      <c r="M37" s="65">
        <v>799.23699999999997</v>
      </c>
      <c r="N37" s="64">
        <v>800</v>
      </c>
      <c r="O37" s="64">
        <v>800</v>
      </c>
      <c r="P37" s="64">
        <v>800</v>
      </c>
      <c r="Q37" s="53">
        <v>800</v>
      </c>
      <c r="R37" s="53">
        <f t="shared" si="2"/>
        <v>0</v>
      </c>
      <c r="S37" s="64">
        <v>800</v>
      </c>
      <c r="T37" s="64">
        <v>800</v>
      </c>
    </row>
    <row r="38" spans="1:22" ht="25.5">
      <c r="A38" s="46">
        <v>20</v>
      </c>
      <c r="B38" s="46">
        <v>14211200</v>
      </c>
      <c r="C38" s="56" t="s">
        <v>128</v>
      </c>
      <c r="D38" s="74">
        <v>100</v>
      </c>
      <c r="E38" s="52">
        <f>3400-500+50</f>
        <v>2950</v>
      </c>
      <c r="F38" s="52">
        <v>2399.576</v>
      </c>
      <c r="G38" s="65">
        <v>5068.2</v>
      </c>
      <c r="H38" s="65">
        <v>5068.2</v>
      </c>
      <c r="I38" s="65">
        <v>5551.9549999999999</v>
      </c>
      <c r="J38" s="65">
        <v>5900</v>
      </c>
      <c r="K38" s="65">
        <v>6100</v>
      </c>
      <c r="L38" s="65">
        <v>6100</v>
      </c>
      <c r="M38" s="65">
        <v>7111.8119999999999</v>
      </c>
      <c r="N38" s="64">
        <v>6000</v>
      </c>
      <c r="O38" s="64">
        <v>7200</v>
      </c>
      <c r="P38" s="64">
        <v>7200</v>
      </c>
      <c r="Q38" s="53">
        <v>7200</v>
      </c>
      <c r="R38" s="53">
        <f t="shared" si="2"/>
        <v>0</v>
      </c>
      <c r="S38" s="64">
        <v>6000</v>
      </c>
      <c r="T38" s="64">
        <v>6100</v>
      </c>
    </row>
    <row r="39" spans="1:22" ht="12.75" customHeight="1">
      <c r="A39" s="46">
        <v>21</v>
      </c>
      <c r="B39" s="46">
        <v>14224300</v>
      </c>
      <c r="C39" s="49" t="s">
        <v>127</v>
      </c>
      <c r="D39" s="74">
        <v>100</v>
      </c>
      <c r="E39" s="52">
        <f>3070-270</f>
        <v>2800</v>
      </c>
      <c r="F39" s="52">
        <v>2297.0749999999998</v>
      </c>
      <c r="G39" s="65">
        <v>3300</v>
      </c>
      <c r="H39" s="65">
        <v>9500</v>
      </c>
      <c r="I39" s="65">
        <v>9519.1230500000001</v>
      </c>
      <c r="J39" s="65">
        <v>12470</v>
      </c>
      <c r="K39" s="65">
        <v>12970</v>
      </c>
      <c r="L39" s="65">
        <v>12970</v>
      </c>
      <c r="M39" s="65">
        <v>13458.52959</v>
      </c>
      <c r="N39" s="64">
        <v>13479</v>
      </c>
      <c r="O39" s="64">
        <v>12000</v>
      </c>
      <c r="P39" s="64">
        <v>12000</v>
      </c>
      <c r="Q39" s="53">
        <v>12000</v>
      </c>
      <c r="R39" s="53">
        <f t="shared" si="2"/>
        <v>0</v>
      </c>
      <c r="S39" s="64">
        <v>13479</v>
      </c>
      <c r="T39" s="64">
        <v>13479</v>
      </c>
    </row>
    <row r="40" spans="1:22" ht="24">
      <c r="A40" s="46">
        <v>22</v>
      </c>
      <c r="B40" s="49">
        <v>14221900</v>
      </c>
      <c r="C40" s="56" t="s">
        <v>126</v>
      </c>
      <c r="D40" s="74">
        <v>100</v>
      </c>
      <c r="E40" s="52">
        <f>2000+50+50</f>
        <v>2100</v>
      </c>
      <c r="F40" s="52">
        <v>1851.5450000000001</v>
      </c>
      <c r="G40" s="65">
        <v>2200</v>
      </c>
      <c r="H40" s="65">
        <v>2200</v>
      </c>
      <c r="I40" s="65">
        <v>2201.6309999999999</v>
      </c>
      <c r="J40" s="65">
        <v>2200</v>
      </c>
      <c r="K40" s="65">
        <v>2200</v>
      </c>
      <c r="L40" s="65">
        <v>2200</v>
      </c>
      <c r="M40" s="65">
        <v>2231.1210000000001</v>
      </c>
      <c r="N40" s="64">
        <v>2200</v>
      </c>
      <c r="O40" s="64"/>
      <c r="P40" s="64"/>
      <c r="Q40" s="53"/>
      <c r="R40" s="53">
        <f t="shared" si="2"/>
        <v>0</v>
      </c>
      <c r="S40" s="64">
        <v>2200</v>
      </c>
      <c r="T40" s="64">
        <v>2200</v>
      </c>
    </row>
    <row r="41" spans="1:22" hidden="1">
      <c r="A41" s="46">
        <v>23</v>
      </c>
      <c r="B41" s="49">
        <v>14151200</v>
      </c>
      <c r="C41" s="66" t="s">
        <v>122</v>
      </c>
      <c r="D41" s="74"/>
      <c r="E41" s="52"/>
      <c r="F41" s="52"/>
      <c r="G41" s="65"/>
      <c r="H41" s="65"/>
      <c r="I41" s="65"/>
      <c r="J41" s="65"/>
      <c r="K41" s="65"/>
      <c r="L41" s="65"/>
      <c r="M41" s="65"/>
      <c r="N41" s="64"/>
      <c r="O41" s="64"/>
      <c r="P41" s="64"/>
      <c r="Q41" s="53"/>
      <c r="R41" s="53">
        <f t="shared" si="2"/>
        <v>0</v>
      </c>
      <c r="S41" s="64"/>
      <c r="T41" s="64"/>
    </row>
    <row r="42" spans="1:22">
      <c r="A42" s="46">
        <v>24</v>
      </c>
      <c r="B42" s="67">
        <v>14311400</v>
      </c>
      <c r="C42" s="66" t="s">
        <v>125</v>
      </c>
      <c r="D42" s="56"/>
      <c r="E42" s="52"/>
      <c r="F42" s="52">
        <v>19.2</v>
      </c>
      <c r="G42" s="65"/>
      <c r="H42" s="65"/>
      <c r="I42" s="65">
        <v>67.408799999999999</v>
      </c>
      <c r="J42" s="65"/>
      <c r="K42" s="65"/>
      <c r="L42" s="65"/>
      <c r="M42" s="65">
        <v>2.0972499999999998</v>
      </c>
      <c r="N42" s="64"/>
      <c r="O42" s="64"/>
      <c r="P42" s="64"/>
      <c r="Q42" s="53"/>
      <c r="R42" s="53">
        <f t="shared" si="2"/>
        <v>0</v>
      </c>
      <c r="S42" s="63"/>
      <c r="T42" s="63"/>
    </row>
    <row r="43" spans="1:22">
      <c r="A43" s="46">
        <v>25</v>
      </c>
      <c r="B43" s="67">
        <v>14311500</v>
      </c>
      <c r="C43" s="66" t="s">
        <v>124</v>
      </c>
      <c r="D43" s="56"/>
      <c r="E43" s="52"/>
      <c r="F43" s="52">
        <v>105.854</v>
      </c>
      <c r="G43" s="65"/>
      <c r="H43" s="65"/>
      <c r="I43" s="65">
        <v>4710.6909999999998</v>
      </c>
      <c r="J43" s="65"/>
      <c r="K43" s="65"/>
      <c r="L43" s="65"/>
      <c r="M43" s="65"/>
      <c r="N43" s="64"/>
      <c r="O43" s="64"/>
      <c r="P43" s="64"/>
      <c r="Q43" s="53"/>
      <c r="R43" s="53">
        <f t="shared" si="2"/>
        <v>0</v>
      </c>
      <c r="S43" s="63"/>
      <c r="T43" s="63"/>
    </row>
    <row r="44" spans="1:22">
      <c r="A44" s="46">
        <v>26</v>
      </c>
      <c r="B44" s="67">
        <v>14511100</v>
      </c>
      <c r="C44" s="66" t="s">
        <v>123</v>
      </c>
      <c r="D44" s="56"/>
      <c r="E44" s="52"/>
      <c r="F44" s="52">
        <v>220.60210000000001</v>
      </c>
      <c r="G44" s="65"/>
      <c r="H44" s="65">
        <v>3120.7</v>
      </c>
      <c r="I44" s="65">
        <v>3450.1961299999998</v>
      </c>
      <c r="J44" s="65"/>
      <c r="K44" s="65"/>
      <c r="L44" s="65"/>
      <c r="M44" s="65">
        <v>921.34299999999996</v>
      </c>
      <c r="N44" s="64"/>
      <c r="O44" s="64"/>
      <c r="P44" s="64"/>
      <c r="Q44" s="53"/>
      <c r="R44" s="53">
        <f t="shared" si="2"/>
        <v>0</v>
      </c>
      <c r="S44" s="63"/>
      <c r="T44" s="63"/>
    </row>
    <row r="45" spans="1:22">
      <c r="A45" s="46">
        <v>27</v>
      </c>
      <c r="B45" s="73">
        <v>14151200</v>
      </c>
      <c r="C45" s="66" t="s">
        <v>122</v>
      </c>
      <c r="D45" s="56"/>
      <c r="E45" s="52"/>
      <c r="F45" s="52">
        <v>7.085</v>
      </c>
      <c r="G45" s="65"/>
      <c r="H45" s="65"/>
      <c r="I45" s="65">
        <v>2.4089999999999998</v>
      </c>
      <c r="J45" s="65"/>
      <c r="K45" s="65"/>
      <c r="L45" s="65"/>
      <c r="M45" s="65"/>
      <c r="N45" s="64"/>
      <c r="O45" s="64"/>
      <c r="P45" s="64"/>
      <c r="Q45" s="53"/>
      <c r="R45" s="53">
        <f t="shared" si="2"/>
        <v>0</v>
      </c>
      <c r="S45" s="63"/>
      <c r="T45" s="63"/>
    </row>
    <row r="46" spans="1:22">
      <c r="A46" s="46">
        <v>28</v>
      </c>
      <c r="B46" s="72">
        <v>14311100</v>
      </c>
      <c r="C46" s="68" t="s">
        <v>121</v>
      </c>
      <c r="D46" s="56"/>
      <c r="E46" s="52"/>
      <c r="F46" s="52">
        <v>114.14100000000001</v>
      </c>
      <c r="G46" s="65"/>
      <c r="H46" s="65"/>
      <c r="I46" s="65"/>
      <c r="J46" s="65"/>
      <c r="K46" s="65"/>
      <c r="L46" s="65"/>
      <c r="M46" s="65">
        <v>27.5</v>
      </c>
      <c r="N46" s="64"/>
      <c r="O46" s="64"/>
      <c r="P46" s="64"/>
      <c r="Q46" s="53"/>
      <c r="R46" s="53">
        <f t="shared" si="2"/>
        <v>0</v>
      </c>
      <c r="S46" s="63"/>
      <c r="T46" s="63"/>
    </row>
    <row r="47" spans="1:22" ht="13.15" hidden="1" customHeight="1">
      <c r="A47" s="46">
        <v>29</v>
      </c>
      <c r="B47" s="71">
        <v>31121100</v>
      </c>
      <c r="C47" s="70" t="s">
        <v>120</v>
      </c>
      <c r="D47" s="56"/>
      <c r="E47" s="52"/>
      <c r="F47" s="52">
        <v>13.52</v>
      </c>
      <c r="G47" s="65"/>
      <c r="H47" s="65"/>
      <c r="I47" s="65">
        <v>130</v>
      </c>
      <c r="J47" s="65"/>
      <c r="K47" s="65"/>
      <c r="L47" s="65"/>
      <c r="M47" s="65"/>
      <c r="N47" s="64"/>
      <c r="O47" s="64"/>
      <c r="P47" s="64"/>
      <c r="Q47" s="53"/>
      <c r="R47" s="53">
        <f t="shared" si="2"/>
        <v>0</v>
      </c>
      <c r="S47" s="63"/>
      <c r="T47" s="63"/>
    </row>
    <row r="48" spans="1:22">
      <c r="A48" s="46">
        <v>30</v>
      </c>
      <c r="B48" s="71">
        <v>31112120</v>
      </c>
      <c r="C48" s="70" t="s">
        <v>119</v>
      </c>
      <c r="D48" s="69"/>
      <c r="E48" s="52"/>
      <c r="F48" s="52">
        <v>110.694</v>
      </c>
      <c r="G48" s="65"/>
      <c r="H48" s="65"/>
      <c r="I48" s="65">
        <v>118.286</v>
      </c>
      <c r="J48" s="65"/>
      <c r="K48" s="65">
        <v>1333</v>
      </c>
      <c r="L48" s="65">
        <v>1333</v>
      </c>
      <c r="M48" s="65">
        <v>1834.213</v>
      </c>
      <c r="N48" s="64"/>
      <c r="O48" s="64"/>
      <c r="P48" s="64"/>
      <c r="Q48" s="53"/>
      <c r="R48" s="53">
        <f t="shared" si="2"/>
        <v>0</v>
      </c>
      <c r="S48" s="63"/>
      <c r="T48" s="63"/>
    </row>
    <row r="49" spans="1:21">
      <c r="A49" s="46">
        <v>31</v>
      </c>
      <c r="B49" s="46">
        <v>31112190</v>
      </c>
      <c r="C49" s="70" t="s">
        <v>118</v>
      </c>
      <c r="D49" s="69"/>
      <c r="E49" s="52"/>
      <c r="F49" s="52"/>
      <c r="G49" s="65"/>
      <c r="H49" s="65"/>
      <c r="I49" s="65">
        <v>535.86699999999996</v>
      </c>
      <c r="J49" s="65"/>
      <c r="K49" s="65">
        <v>1200</v>
      </c>
      <c r="L49" s="65">
        <v>1200</v>
      </c>
      <c r="M49" s="65"/>
      <c r="N49" s="64"/>
      <c r="O49" s="64"/>
      <c r="P49" s="64"/>
      <c r="Q49" s="53"/>
      <c r="R49" s="53">
        <f t="shared" si="2"/>
        <v>0</v>
      </c>
      <c r="S49" s="63"/>
      <c r="T49" s="63"/>
    </row>
    <row r="50" spans="1:21">
      <c r="A50" s="46">
        <v>32</v>
      </c>
      <c r="B50" s="67">
        <v>31121130</v>
      </c>
      <c r="C50" s="68" t="s">
        <v>117</v>
      </c>
      <c r="D50" s="56"/>
      <c r="E50" s="52"/>
      <c r="F50" s="52">
        <v>157.923</v>
      </c>
      <c r="G50" s="65"/>
      <c r="H50" s="65"/>
      <c r="I50" s="65">
        <v>148.15199999999999</v>
      </c>
      <c r="J50" s="65"/>
      <c r="K50" s="65"/>
      <c r="L50" s="65"/>
      <c r="M50" s="65">
        <v>40</v>
      </c>
      <c r="N50" s="64"/>
      <c r="O50" s="64"/>
      <c r="P50" s="64"/>
      <c r="Q50" s="53"/>
      <c r="R50" s="53">
        <f t="shared" si="2"/>
        <v>0</v>
      </c>
      <c r="S50" s="63"/>
      <c r="T50" s="63"/>
    </row>
    <row r="51" spans="1:21" hidden="1">
      <c r="A51" s="46">
        <v>33</v>
      </c>
      <c r="B51" s="67">
        <v>31121190</v>
      </c>
      <c r="C51" s="66" t="s">
        <v>116</v>
      </c>
      <c r="D51" s="56"/>
      <c r="E51" s="52"/>
      <c r="F51" s="52"/>
      <c r="G51" s="65"/>
      <c r="H51" s="65"/>
      <c r="I51" s="65"/>
      <c r="J51" s="65"/>
      <c r="K51" s="65"/>
      <c r="L51" s="65"/>
      <c r="M51" s="65"/>
      <c r="N51" s="64"/>
      <c r="O51" s="64"/>
      <c r="P51" s="64"/>
      <c r="Q51" s="53"/>
      <c r="R51" s="53">
        <f t="shared" si="2"/>
        <v>0</v>
      </c>
      <c r="S51" s="63"/>
      <c r="T51" s="63"/>
    </row>
    <row r="52" spans="1:21" ht="25.5">
      <c r="A52" s="46"/>
      <c r="B52" s="46"/>
      <c r="C52" s="62" t="s">
        <v>115</v>
      </c>
      <c r="D52" s="62"/>
      <c r="E52" s="41">
        <f>SUM(E32:E40)</f>
        <v>35059</v>
      </c>
      <c r="F52" s="41">
        <f t="shared" ref="F52:L52" si="7">SUM(F32:F51)</f>
        <v>27998.661950000002</v>
      </c>
      <c r="G52" s="41">
        <f t="shared" si="7"/>
        <v>39187.5</v>
      </c>
      <c r="H52" s="41">
        <f t="shared" si="7"/>
        <v>49192.899999999994</v>
      </c>
      <c r="I52" s="41">
        <f t="shared" si="7"/>
        <v>58469.186979999999</v>
      </c>
      <c r="J52" s="41">
        <f t="shared" si="7"/>
        <v>52960.5</v>
      </c>
      <c r="K52" s="41">
        <f t="shared" si="7"/>
        <v>58293.5</v>
      </c>
      <c r="L52" s="41">
        <f t="shared" si="7"/>
        <v>58293.5</v>
      </c>
      <c r="M52" s="41">
        <f>SUM(M31:M51)-M31</f>
        <v>59558.212840000015</v>
      </c>
      <c r="N52" s="41">
        <f>SUM(N31:N51)</f>
        <v>76564.2</v>
      </c>
      <c r="O52" s="41">
        <f t="shared" ref="O52:T52" si="8">SUM(O32:O51)</f>
        <v>73701</v>
      </c>
      <c r="P52" s="41">
        <f t="shared" si="8"/>
        <v>73701</v>
      </c>
      <c r="Q52" s="43">
        <f t="shared" si="8"/>
        <v>58430.76</v>
      </c>
      <c r="R52" s="43">
        <f t="shared" si="8"/>
        <v>-15270.24</v>
      </c>
      <c r="S52" s="41">
        <f t="shared" si="8"/>
        <v>77221.603999999992</v>
      </c>
      <c r="T52" s="41">
        <f t="shared" si="8"/>
        <v>78321.603999999992</v>
      </c>
    </row>
    <row r="53" spans="1:21">
      <c r="A53" s="46"/>
      <c r="B53" s="46"/>
      <c r="C53" s="61" t="s">
        <v>114</v>
      </c>
      <c r="D53" s="61"/>
      <c r="E53" s="58">
        <f t="shared" ref="E53:T53" si="9">E52+E30</f>
        <v>374974</v>
      </c>
      <c r="F53" s="58">
        <f t="shared" si="9"/>
        <v>348274.92894000001</v>
      </c>
      <c r="G53" s="60">
        <f t="shared" si="9"/>
        <v>422659.5</v>
      </c>
      <c r="H53" s="60">
        <f t="shared" si="9"/>
        <v>439114.9</v>
      </c>
      <c r="I53" s="60">
        <f t="shared" si="9"/>
        <v>461266.35842999996</v>
      </c>
      <c r="J53" s="60">
        <f t="shared" si="9"/>
        <v>454838.60000000003</v>
      </c>
      <c r="K53" s="60">
        <f t="shared" si="9"/>
        <v>564317</v>
      </c>
      <c r="L53" s="60">
        <f t="shared" si="9"/>
        <v>565262.20000000007</v>
      </c>
      <c r="M53" s="60">
        <f t="shared" si="9"/>
        <v>617825.75739000004</v>
      </c>
      <c r="N53" s="58">
        <f t="shared" si="9"/>
        <v>560362</v>
      </c>
      <c r="O53" s="58">
        <f t="shared" si="9"/>
        <v>622835</v>
      </c>
      <c r="P53" s="58">
        <f t="shared" si="9"/>
        <v>667835</v>
      </c>
      <c r="Q53" s="42">
        <f t="shared" si="9"/>
        <v>666973.06000000006</v>
      </c>
      <c r="R53" s="42">
        <f t="shared" si="9"/>
        <v>-861.94000000001142</v>
      </c>
      <c r="S53" s="59">
        <f t="shared" si="9"/>
        <v>686974.60400000005</v>
      </c>
      <c r="T53" s="58">
        <f t="shared" si="9"/>
        <v>711746.60400000005</v>
      </c>
      <c r="U53" s="40"/>
    </row>
    <row r="54" spans="1:21" ht="13.5">
      <c r="A54" s="46"/>
      <c r="B54" s="46"/>
      <c r="C54" s="57" t="s">
        <v>113</v>
      </c>
      <c r="D54" s="57"/>
      <c r="E54" s="52"/>
      <c r="F54" s="52"/>
      <c r="G54" s="55"/>
      <c r="H54" s="55"/>
      <c r="I54" s="55"/>
      <c r="J54" s="55"/>
      <c r="K54" s="55"/>
      <c r="L54" s="55"/>
      <c r="M54" s="55"/>
      <c r="N54" s="52"/>
      <c r="O54" s="52"/>
      <c r="P54" s="52"/>
      <c r="Q54" s="54"/>
      <c r="R54" s="53">
        <f t="shared" si="2"/>
        <v>0</v>
      </c>
      <c r="S54" s="52"/>
      <c r="T54" s="52"/>
    </row>
    <row r="55" spans="1:21">
      <c r="A55" s="46">
        <v>34</v>
      </c>
      <c r="B55" s="46">
        <v>14232400</v>
      </c>
      <c r="C55" s="56" t="s">
        <v>112</v>
      </c>
      <c r="D55" s="56"/>
      <c r="E55" s="52">
        <v>34078</v>
      </c>
      <c r="F55" s="52">
        <v>8778.7540000000008</v>
      </c>
      <c r="G55" s="55">
        <f>33704.9-9695.4</f>
        <v>24009.5</v>
      </c>
      <c r="H55" s="55">
        <v>34009.5</v>
      </c>
      <c r="I55" s="55">
        <v>29692.421999999999</v>
      </c>
      <c r="J55" s="55">
        <v>52329.599999999999</v>
      </c>
      <c r="K55" s="55">
        <v>52329.599999999999</v>
      </c>
      <c r="L55" s="55">
        <v>52329.599999999999</v>
      </c>
      <c r="M55" s="55">
        <v>47288.578999999998</v>
      </c>
      <c r="N55" s="52">
        <v>53993</v>
      </c>
      <c r="O55" s="52">
        <v>61397.7</v>
      </c>
      <c r="P55" s="52">
        <v>61397.7</v>
      </c>
      <c r="Q55" s="54">
        <v>61397.7</v>
      </c>
      <c r="R55" s="53">
        <f t="shared" si="2"/>
        <v>0</v>
      </c>
      <c r="S55" s="52">
        <v>55612.800000000003</v>
      </c>
      <c r="T55" s="52">
        <v>55612.800000000003</v>
      </c>
    </row>
    <row r="56" spans="1:21">
      <c r="A56" s="46">
        <v>35</v>
      </c>
      <c r="B56" s="46">
        <v>14232900</v>
      </c>
      <c r="C56" s="56" t="s">
        <v>111</v>
      </c>
      <c r="D56" s="56"/>
      <c r="E56" s="52">
        <v>650</v>
      </c>
      <c r="F56" s="52">
        <v>650</v>
      </c>
      <c r="G56" s="55">
        <v>650</v>
      </c>
      <c r="H56" s="55">
        <v>1000</v>
      </c>
      <c r="I56" s="55">
        <v>1141.508</v>
      </c>
      <c r="J56" s="55">
        <v>1100</v>
      </c>
      <c r="K56" s="55">
        <v>1100</v>
      </c>
      <c r="L56" s="55">
        <v>1100</v>
      </c>
      <c r="M56" s="55">
        <v>1532.35598</v>
      </c>
      <c r="N56" s="52">
        <v>1200</v>
      </c>
      <c r="O56" s="52">
        <v>2000</v>
      </c>
      <c r="P56" s="52">
        <v>2000</v>
      </c>
      <c r="Q56" s="54">
        <v>2000</v>
      </c>
      <c r="R56" s="53">
        <f t="shared" si="2"/>
        <v>0</v>
      </c>
      <c r="S56" s="52">
        <v>1250</v>
      </c>
      <c r="T56" s="52">
        <v>1300</v>
      </c>
    </row>
    <row r="57" spans="1:21" ht="25.5">
      <c r="A57" s="46">
        <v>36</v>
      </c>
      <c r="B57" s="46">
        <v>14236900</v>
      </c>
      <c r="C57" s="56" t="s">
        <v>110</v>
      </c>
      <c r="D57" s="56"/>
      <c r="E57" s="52"/>
      <c r="F57" s="52">
        <v>-9.4021000000000008</v>
      </c>
      <c r="G57" s="55"/>
      <c r="H57" s="55"/>
      <c r="I57" s="55"/>
      <c r="J57" s="55"/>
      <c r="K57" s="55"/>
      <c r="L57" s="55"/>
      <c r="M57" s="55"/>
      <c r="N57" s="52"/>
      <c r="O57" s="52"/>
      <c r="P57" s="52"/>
      <c r="Q57" s="54"/>
      <c r="R57" s="53">
        <f t="shared" si="2"/>
        <v>0</v>
      </c>
      <c r="S57" s="52"/>
      <c r="T57" s="52"/>
    </row>
    <row r="58" spans="1:21">
      <c r="A58" s="46">
        <v>37</v>
      </c>
      <c r="B58" s="46">
        <v>14238900</v>
      </c>
      <c r="C58" s="56" t="s">
        <v>109</v>
      </c>
      <c r="D58" s="56"/>
      <c r="E58" s="52">
        <v>47872</v>
      </c>
      <c r="F58" s="52">
        <v>38952.909740000003</v>
      </c>
      <c r="G58" s="55">
        <f>10287.6-278.2+700+157+38000+247.1+32000</f>
        <v>81113.5</v>
      </c>
      <c r="H58" s="55">
        <v>51076.6</v>
      </c>
      <c r="I58" s="55">
        <v>51108.462</v>
      </c>
      <c r="J58" s="55">
        <v>55938.9</v>
      </c>
      <c r="K58" s="55">
        <v>55938.9</v>
      </c>
      <c r="L58" s="55">
        <v>55938.9</v>
      </c>
      <c r="M58" s="55">
        <v>54438.173540000003</v>
      </c>
      <c r="N58" s="52">
        <v>70721.600000000006</v>
      </c>
      <c r="O58" s="52">
        <v>90368.1</v>
      </c>
      <c r="P58" s="52">
        <v>88946.3</v>
      </c>
      <c r="Q58" s="54">
        <f>90368.1+1968.9-3390.7-7143.5-4609.3+4040+120</f>
        <v>81353.5</v>
      </c>
      <c r="R58" s="53">
        <f t="shared" si="2"/>
        <v>-7592.8000000000029</v>
      </c>
      <c r="S58" s="52">
        <f>21589.5+233.6+750+71500+140+65</f>
        <v>94278.1</v>
      </c>
      <c r="T58" s="52">
        <f>21589.5+233.6+800+78650+140+70</f>
        <v>101483.1</v>
      </c>
    </row>
    <row r="59" spans="1:21">
      <c r="A59" s="46">
        <v>38</v>
      </c>
      <c r="B59" s="46">
        <v>14411100</v>
      </c>
      <c r="C59" s="49" t="s">
        <v>108</v>
      </c>
      <c r="D59" s="49"/>
      <c r="E59" s="52"/>
      <c r="F59" s="52">
        <v>3581.1924399999998</v>
      </c>
      <c r="G59" s="55">
        <v>100</v>
      </c>
      <c r="H59" s="55">
        <v>560.79999999999995</v>
      </c>
      <c r="I59" s="55">
        <v>358.70100000000002</v>
      </c>
      <c r="J59" s="55">
        <v>200</v>
      </c>
      <c r="K59" s="55">
        <v>200</v>
      </c>
      <c r="L59" s="55">
        <v>200</v>
      </c>
      <c r="M59" s="55"/>
      <c r="N59" s="52">
        <v>100</v>
      </c>
      <c r="O59" s="52">
        <v>100</v>
      </c>
      <c r="P59" s="52">
        <v>100</v>
      </c>
      <c r="Q59" s="54">
        <f>100+400</f>
        <v>500</v>
      </c>
      <c r="R59" s="53">
        <f t="shared" si="2"/>
        <v>400</v>
      </c>
      <c r="S59" s="52">
        <v>100</v>
      </c>
      <c r="T59" s="52">
        <v>100</v>
      </c>
    </row>
    <row r="60" spans="1:21">
      <c r="A60" s="46"/>
      <c r="B60" s="45"/>
      <c r="C60" s="51" t="s">
        <v>107</v>
      </c>
      <c r="D60" s="51"/>
      <c r="E60" s="41">
        <f t="shared" ref="E60:T60" si="10">SUM(E55:E59)</f>
        <v>82600</v>
      </c>
      <c r="F60" s="41">
        <f t="shared" si="10"/>
        <v>51953.454080000003</v>
      </c>
      <c r="G60" s="41">
        <f t="shared" si="10"/>
        <v>105873</v>
      </c>
      <c r="H60" s="41">
        <f t="shared" si="10"/>
        <v>86646.900000000009</v>
      </c>
      <c r="I60" s="41">
        <f t="shared" si="10"/>
        <v>82301.092999999993</v>
      </c>
      <c r="J60" s="41">
        <f t="shared" si="10"/>
        <v>109568.5</v>
      </c>
      <c r="K60" s="41">
        <f t="shared" si="10"/>
        <v>109568.5</v>
      </c>
      <c r="L60" s="41">
        <f t="shared" si="10"/>
        <v>109568.5</v>
      </c>
      <c r="M60" s="41">
        <f t="shared" si="10"/>
        <v>103259.10852000001</v>
      </c>
      <c r="N60" s="41">
        <f t="shared" si="10"/>
        <v>126014.6</v>
      </c>
      <c r="O60" s="41">
        <f t="shared" si="10"/>
        <v>153865.79999999999</v>
      </c>
      <c r="P60" s="41">
        <f t="shared" si="10"/>
        <v>152444</v>
      </c>
      <c r="Q60" s="43">
        <f t="shared" si="10"/>
        <v>145251.20000000001</v>
      </c>
      <c r="R60" s="43">
        <f t="shared" si="10"/>
        <v>-7192.8000000000029</v>
      </c>
      <c r="S60" s="41">
        <f t="shared" si="10"/>
        <v>151240.90000000002</v>
      </c>
      <c r="T60" s="41">
        <f t="shared" si="10"/>
        <v>158495.90000000002</v>
      </c>
    </row>
    <row r="61" spans="1:21">
      <c r="A61" s="46">
        <v>39</v>
      </c>
      <c r="B61" s="45"/>
      <c r="C61" s="50" t="s">
        <v>106</v>
      </c>
      <c r="D61" s="49"/>
      <c r="E61" s="47"/>
      <c r="F61" s="47">
        <v>2222.3000000000002</v>
      </c>
      <c r="G61" s="47"/>
      <c r="H61" s="47">
        <v>5000</v>
      </c>
      <c r="I61" s="47">
        <v>5523</v>
      </c>
      <c r="J61" s="47"/>
      <c r="K61" s="47"/>
      <c r="L61" s="47">
        <f>14219.8</f>
        <v>14219.8</v>
      </c>
      <c r="M61" s="47">
        <f>14219.8-711.4</f>
        <v>13508.4</v>
      </c>
      <c r="N61" s="47"/>
      <c r="O61" s="47"/>
      <c r="P61" s="47"/>
      <c r="Q61" s="48">
        <v>50452</v>
      </c>
      <c r="R61" s="53">
        <f t="shared" si="2"/>
        <v>50452</v>
      </c>
      <c r="S61" s="47"/>
      <c r="T61" s="47"/>
    </row>
    <row r="62" spans="1:21">
      <c r="A62" s="46"/>
      <c r="B62" s="45"/>
      <c r="C62" s="44" t="s">
        <v>105</v>
      </c>
      <c r="D62" s="44"/>
      <c r="E62" s="41">
        <f>E60+E61+E53</f>
        <v>457574</v>
      </c>
      <c r="F62" s="41">
        <f t="shared" ref="F62:M62" si="11">F60+F53+F61</f>
        <v>402450.68302</v>
      </c>
      <c r="G62" s="41">
        <f t="shared" si="11"/>
        <v>528532.5</v>
      </c>
      <c r="H62" s="41">
        <f t="shared" si="11"/>
        <v>530761.80000000005</v>
      </c>
      <c r="I62" s="41">
        <f t="shared" si="11"/>
        <v>549090.4514299999</v>
      </c>
      <c r="J62" s="41">
        <f t="shared" si="11"/>
        <v>564407.10000000009</v>
      </c>
      <c r="K62" s="41">
        <f t="shared" si="11"/>
        <v>673885.5</v>
      </c>
      <c r="L62" s="41">
        <f t="shared" si="11"/>
        <v>689050.50000000012</v>
      </c>
      <c r="M62" s="41">
        <f t="shared" si="11"/>
        <v>734593.26591000007</v>
      </c>
      <c r="N62" s="41">
        <f>N60+N53</f>
        <v>686376.6</v>
      </c>
      <c r="O62" s="41">
        <f>O60+O53</f>
        <v>776700.8</v>
      </c>
      <c r="P62" s="43">
        <f>P60+P53+P61</f>
        <v>820279</v>
      </c>
      <c r="Q62" s="43">
        <f>Q60+Q53+Q61</f>
        <v>862676.26</v>
      </c>
      <c r="R62" s="43">
        <f>R60+R53+R61</f>
        <v>42397.259999999987</v>
      </c>
      <c r="S62" s="41">
        <f>S60+S53</f>
        <v>838215.50400000007</v>
      </c>
      <c r="T62" s="41">
        <f>T60+T53</f>
        <v>870242.50400000007</v>
      </c>
    </row>
    <row r="63" spans="1:21">
      <c r="Q63" s="40"/>
      <c r="R63" s="40"/>
    </row>
    <row r="64" spans="1:21">
      <c r="Q64" s="127"/>
    </row>
    <row r="65" spans="3:17" ht="15.75">
      <c r="C65" s="160" t="s">
        <v>254</v>
      </c>
      <c r="D65" s="160"/>
      <c r="E65" s="160"/>
      <c r="F65" s="161"/>
      <c r="G65" s="160"/>
      <c r="H65" s="160"/>
      <c r="I65" s="160"/>
      <c r="J65" s="160"/>
      <c r="K65" s="160" t="s">
        <v>255</v>
      </c>
    </row>
    <row r="66" spans="3:17">
      <c r="Q66" s="40"/>
    </row>
  </sheetData>
  <mergeCells count="16">
    <mergeCell ref="A7:T7"/>
    <mergeCell ref="C9:C10"/>
    <mergeCell ref="D9:D10"/>
    <mergeCell ref="G9:G10"/>
    <mergeCell ref="I9:I10"/>
    <mergeCell ref="J9:J10"/>
    <mergeCell ref="K9:K10"/>
    <mergeCell ref="L9:L10"/>
    <mergeCell ref="M9:M10"/>
    <mergeCell ref="S9:S10"/>
    <mergeCell ref="T9:T10"/>
    <mergeCell ref="N9:N10"/>
    <mergeCell ref="O9:O10"/>
    <mergeCell ref="Q9:Q10"/>
    <mergeCell ref="R9:R10"/>
    <mergeCell ref="P9:P10"/>
  </mergeCells>
  <printOptions horizontalCentered="1"/>
  <pageMargins left="0.39370078740157483" right="0.39370078740157483" top="0.39370078740157483" bottom="0.39370078740157483" header="0.51181102362204722" footer="0"/>
  <pageSetup paperSize="9" scale="72" fitToHeight="0" orientation="landscape" r:id="rId1"/>
  <headerFooter alignWithMargins="0"/>
  <rowBreaks count="1" manualBreakCount="1">
    <brk id="5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6"/>
  <sheetViews>
    <sheetView tabSelected="1" view="pageBreakPreview" topLeftCell="A55" zoomScale="85" zoomScaleNormal="100" zoomScaleSheetLayoutView="85" workbookViewId="0">
      <selection activeCell="C76" sqref="C76"/>
    </sheetView>
  </sheetViews>
  <sheetFormatPr defaultRowHeight="15"/>
  <cols>
    <col min="1" max="1" width="3" bestFit="1" customWidth="1"/>
    <col min="2" max="2" width="31.28515625" customWidth="1"/>
    <col min="3" max="3" width="8.42578125" bestFit="1" customWidth="1"/>
    <col min="4" max="4" width="10" customWidth="1"/>
    <col min="5" max="5" width="9.85546875" customWidth="1"/>
    <col min="6" max="6" width="41.42578125" customWidth="1"/>
  </cols>
  <sheetData>
    <row r="1" spans="1:6" ht="15.75">
      <c r="F1" s="132" t="s">
        <v>222</v>
      </c>
    </row>
    <row r="2" spans="1:6" ht="15.75">
      <c r="F2" s="133" t="s">
        <v>248</v>
      </c>
    </row>
    <row r="3" spans="1:6" ht="15.75">
      <c r="F3" s="132" t="s">
        <v>262</v>
      </c>
    </row>
    <row r="4" spans="1:6" ht="15.75">
      <c r="F4" s="132" t="s">
        <v>263</v>
      </c>
    </row>
    <row r="5" spans="1:6" ht="15.75">
      <c r="F5" s="134" t="s">
        <v>252</v>
      </c>
    </row>
    <row r="7" spans="1:6" ht="21.6" customHeight="1">
      <c r="A7" s="187" t="s">
        <v>89</v>
      </c>
      <c r="B7" s="187"/>
      <c r="C7" s="187"/>
      <c r="D7" s="187"/>
      <c r="E7" s="187"/>
      <c r="F7" s="187"/>
    </row>
    <row r="8" spans="1:6" ht="51">
      <c r="A8" s="1" t="s">
        <v>0</v>
      </c>
      <c r="B8" s="1" t="s">
        <v>91</v>
      </c>
      <c r="C8" s="1" t="s">
        <v>14</v>
      </c>
      <c r="D8" s="4" t="s">
        <v>185</v>
      </c>
      <c r="E8" s="10" t="s">
        <v>15</v>
      </c>
      <c r="F8" s="1" t="s">
        <v>16</v>
      </c>
    </row>
    <row r="9" spans="1:6">
      <c r="A9" s="2">
        <v>1</v>
      </c>
      <c r="B9" s="2">
        <v>2</v>
      </c>
      <c r="C9" s="2">
        <v>3</v>
      </c>
      <c r="D9" s="2">
        <v>4</v>
      </c>
      <c r="E9" s="11">
        <v>5</v>
      </c>
      <c r="F9" s="2">
        <v>6</v>
      </c>
    </row>
    <row r="10" spans="1:6">
      <c r="A10" s="182">
        <v>1</v>
      </c>
      <c r="B10" s="188" t="s">
        <v>12</v>
      </c>
      <c r="C10" s="37">
        <v>2212</v>
      </c>
      <c r="D10" s="24">
        <v>6</v>
      </c>
      <c r="E10" s="12"/>
      <c r="F10" s="177" t="s">
        <v>17</v>
      </c>
    </row>
    <row r="11" spans="1:6">
      <c r="A11" s="182"/>
      <c r="B11" s="188"/>
      <c r="C11" s="37">
        <v>2214</v>
      </c>
      <c r="D11" s="24">
        <f>0.8+0.6+1.4+70.3</f>
        <v>73.099999999999994</v>
      </c>
      <c r="E11" s="12"/>
      <c r="F11" s="178"/>
    </row>
    <row r="12" spans="1:6">
      <c r="A12" s="182"/>
      <c r="B12" s="188"/>
      <c r="C12" s="37">
        <v>2215</v>
      </c>
      <c r="D12" s="24">
        <f>14.2+6.1</f>
        <v>20.299999999999997</v>
      </c>
      <c r="E12" s="12"/>
      <c r="F12" s="178"/>
    </row>
    <row r="13" spans="1:6">
      <c r="A13" s="182"/>
      <c r="B13" s="188"/>
      <c r="C13" s="37">
        <v>2221</v>
      </c>
      <c r="D13" s="24">
        <v>1.1000000000000001</v>
      </c>
      <c r="E13" s="12"/>
      <c r="F13" s="178"/>
    </row>
    <row r="14" spans="1:6">
      <c r="A14" s="182"/>
      <c r="B14" s="188"/>
      <c r="C14" s="37">
        <v>2222</v>
      </c>
      <c r="D14" s="24">
        <v>11.5</v>
      </c>
      <c r="E14" s="12"/>
      <c r="F14" s="178"/>
    </row>
    <row r="15" spans="1:6">
      <c r="A15" s="182"/>
      <c r="B15" s="188"/>
      <c r="C15" s="37">
        <v>3112</v>
      </c>
      <c r="D15" s="24">
        <f>4+23.4+56.9+26.7</f>
        <v>111</v>
      </c>
      <c r="E15" s="12"/>
      <c r="F15" s="179"/>
    </row>
    <row r="16" spans="1:6">
      <c r="A16" s="182">
        <v>2</v>
      </c>
      <c r="B16" s="188" t="s">
        <v>19</v>
      </c>
      <c r="C16" s="37">
        <v>2214</v>
      </c>
      <c r="D16" s="24">
        <f>0.5+34.5</f>
        <v>35</v>
      </c>
      <c r="E16" s="12"/>
      <c r="F16" s="180" t="s">
        <v>17</v>
      </c>
    </row>
    <row r="17" spans="1:6">
      <c r="A17" s="182"/>
      <c r="B17" s="188"/>
      <c r="C17" s="37">
        <v>2215</v>
      </c>
      <c r="D17" s="24">
        <v>0.3</v>
      </c>
      <c r="E17" s="12"/>
      <c r="F17" s="180"/>
    </row>
    <row r="18" spans="1:6" ht="25.5">
      <c r="A18" s="37">
        <v>3</v>
      </c>
      <c r="B18" s="35" t="s">
        <v>20</v>
      </c>
      <c r="C18" s="37">
        <v>2222</v>
      </c>
      <c r="D18" s="24">
        <v>13.4</v>
      </c>
      <c r="E18" s="12"/>
      <c r="F18" s="38" t="s">
        <v>17</v>
      </c>
    </row>
    <row r="19" spans="1:6">
      <c r="A19" s="174">
        <v>4</v>
      </c>
      <c r="B19" s="177" t="s">
        <v>18</v>
      </c>
      <c r="C19" s="37">
        <v>2221</v>
      </c>
      <c r="D19" s="5">
        <v>8.8000000000000007</v>
      </c>
      <c r="E19" s="5"/>
      <c r="F19" s="177" t="s">
        <v>17</v>
      </c>
    </row>
    <row r="20" spans="1:6">
      <c r="A20" s="175"/>
      <c r="B20" s="178"/>
      <c r="C20" s="37">
        <v>2222</v>
      </c>
      <c r="D20" s="5">
        <v>7.9</v>
      </c>
      <c r="E20" s="5"/>
      <c r="F20" s="179"/>
    </row>
    <row r="21" spans="1:6">
      <c r="A21" s="174">
        <v>5</v>
      </c>
      <c r="B21" s="177" t="s">
        <v>4</v>
      </c>
      <c r="C21" s="37">
        <v>2214</v>
      </c>
      <c r="D21" s="5">
        <v>538</v>
      </c>
      <c r="E21" s="5"/>
      <c r="F21" s="21" t="s">
        <v>82</v>
      </c>
    </row>
    <row r="22" spans="1:6">
      <c r="A22" s="175"/>
      <c r="B22" s="178"/>
      <c r="C22" s="37">
        <v>2214</v>
      </c>
      <c r="D22" s="5">
        <v>392</v>
      </c>
      <c r="E22" s="5"/>
      <c r="F22" s="21" t="s">
        <v>70</v>
      </c>
    </row>
    <row r="23" spans="1:6">
      <c r="A23" s="175"/>
      <c r="B23" s="178"/>
      <c r="C23" s="37">
        <v>2214</v>
      </c>
      <c r="D23" s="5">
        <f>66</f>
        <v>66</v>
      </c>
      <c r="E23" s="5"/>
      <c r="F23" s="186" t="s">
        <v>17</v>
      </c>
    </row>
    <row r="24" spans="1:6">
      <c r="A24" s="175"/>
      <c r="B24" s="178"/>
      <c r="C24" s="37">
        <v>2215</v>
      </c>
      <c r="D24" s="5">
        <v>24.6</v>
      </c>
      <c r="E24" s="5"/>
      <c r="F24" s="186"/>
    </row>
    <row r="25" spans="1:6">
      <c r="A25" s="175"/>
      <c r="B25" s="178"/>
      <c r="C25" s="37">
        <v>2221</v>
      </c>
      <c r="D25" s="5">
        <v>14.9</v>
      </c>
      <c r="E25" s="5"/>
      <c r="F25" s="186"/>
    </row>
    <row r="26" spans="1:6">
      <c r="A26" s="175"/>
      <c r="B26" s="178"/>
      <c r="C26" s="37">
        <v>2222</v>
      </c>
      <c r="D26" s="5">
        <v>2</v>
      </c>
      <c r="E26" s="5"/>
      <c r="F26" s="186"/>
    </row>
    <row r="27" spans="1:6">
      <c r="A27" s="176"/>
      <c r="B27" s="179"/>
      <c r="C27" s="37">
        <v>2224</v>
      </c>
      <c r="D27" s="5">
        <v>24.8</v>
      </c>
      <c r="E27" s="5"/>
      <c r="F27" s="186"/>
    </row>
    <row r="28" spans="1:6">
      <c r="A28" s="174">
        <v>6</v>
      </c>
      <c r="B28" s="177" t="s">
        <v>5</v>
      </c>
      <c r="C28" s="37">
        <v>2214</v>
      </c>
      <c r="D28" s="5">
        <v>2.4</v>
      </c>
      <c r="E28" s="5"/>
      <c r="F28" s="186" t="s">
        <v>17</v>
      </c>
    </row>
    <row r="29" spans="1:6">
      <c r="A29" s="175"/>
      <c r="B29" s="178"/>
      <c r="C29" s="37">
        <v>2215</v>
      </c>
      <c r="D29" s="5">
        <v>122.6</v>
      </c>
      <c r="E29" s="5"/>
      <c r="F29" s="186"/>
    </row>
    <row r="30" spans="1:6">
      <c r="A30" s="175"/>
      <c r="B30" s="178"/>
      <c r="C30" s="37">
        <v>3111</v>
      </c>
      <c r="D30" s="121">
        <f>57.8+843+4340.9+150.8+44+1314.6+90.3</f>
        <v>6841.4000000000005</v>
      </c>
      <c r="E30" s="5"/>
      <c r="F30" s="186"/>
    </row>
    <row r="31" spans="1:6" ht="38.25">
      <c r="A31" s="176"/>
      <c r="B31" s="179"/>
      <c r="C31" s="114">
        <v>3111</v>
      </c>
      <c r="D31" s="121">
        <v>2965.2</v>
      </c>
      <c r="E31" s="5"/>
      <c r="F31" s="119" t="s">
        <v>195</v>
      </c>
    </row>
    <row r="32" spans="1:6">
      <c r="A32" s="174">
        <v>7</v>
      </c>
      <c r="B32" s="177" t="s">
        <v>3</v>
      </c>
      <c r="C32" s="37">
        <v>2214</v>
      </c>
      <c r="D32" s="5">
        <f>4.1+24.8+0.6</f>
        <v>29.5</v>
      </c>
      <c r="E32" s="5"/>
      <c r="F32" s="186" t="s">
        <v>17</v>
      </c>
    </row>
    <row r="33" spans="1:6">
      <c r="A33" s="175"/>
      <c r="B33" s="178"/>
      <c r="C33" s="37">
        <v>2215</v>
      </c>
      <c r="D33" s="5">
        <f>0.6+0.5+2.5</f>
        <v>3.6</v>
      </c>
      <c r="E33" s="5"/>
      <c r="F33" s="186"/>
    </row>
    <row r="34" spans="1:6">
      <c r="A34" s="175"/>
      <c r="B34" s="178"/>
      <c r="C34" s="37">
        <v>2222</v>
      </c>
      <c r="D34" s="5">
        <f>74.2+155.7</f>
        <v>229.89999999999998</v>
      </c>
      <c r="E34" s="5"/>
      <c r="F34" s="186"/>
    </row>
    <row r="35" spans="1:6">
      <c r="A35" s="175"/>
      <c r="B35" s="178"/>
      <c r="C35" s="37">
        <v>3111</v>
      </c>
      <c r="D35" s="5">
        <f>1.2+70</f>
        <v>71.2</v>
      </c>
      <c r="E35" s="5"/>
      <c r="F35" s="186"/>
    </row>
    <row r="36" spans="1:6">
      <c r="A36" s="175"/>
      <c r="B36" s="178"/>
      <c r="C36" s="37">
        <v>3113</v>
      </c>
      <c r="D36" s="5">
        <v>0.7</v>
      </c>
      <c r="E36" s="5"/>
      <c r="F36" s="186"/>
    </row>
    <row r="37" spans="1:6">
      <c r="A37" s="176"/>
      <c r="B37" s="179"/>
      <c r="C37" s="107">
        <v>3112</v>
      </c>
      <c r="D37" s="17">
        <v>1000</v>
      </c>
      <c r="E37" s="17"/>
      <c r="F37" s="109" t="s">
        <v>176</v>
      </c>
    </row>
    <row r="38" spans="1:6" ht="13.9" customHeight="1">
      <c r="A38" s="174">
        <v>8</v>
      </c>
      <c r="B38" s="183" t="s">
        <v>6</v>
      </c>
      <c r="C38" s="37">
        <v>2214</v>
      </c>
      <c r="D38" s="5">
        <v>24.5</v>
      </c>
      <c r="E38" s="5"/>
      <c r="F38" s="177" t="s">
        <v>17</v>
      </c>
    </row>
    <row r="39" spans="1:6">
      <c r="A39" s="175"/>
      <c r="B39" s="184"/>
      <c r="C39" s="37">
        <v>2215</v>
      </c>
      <c r="D39" s="5">
        <v>128.69999999999999</v>
      </c>
      <c r="E39" s="5"/>
      <c r="F39" s="178"/>
    </row>
    <row r="40" spans="1:6">
      <c r="A40" s="175"/>
      <c r="B40" s="184"/>
      <c r="C40" s="37">
        <v>2222</v>
      </c>
      <c r="D40" s="5">
        <v>310.5</v>
      </c>
      <c r="E40" s="5"/>
      <c r="F40" s="178"/>
    </row>
    <row r="41" spans="1:6">
      <c r="A41" s="175"/>
      <c r="B41" s="184"/>
      <c r="C41" s="37">
        <v>3111</v>
      </c>
      <c r="D41" s="5">
        <f>3173.9</f>
        <v>3173.9</v>
      </c>
      <c r="E41" s="5"/>
      <c r="F41" s="178"/>
    </row>
    <row r="42" spans="1:6">
      <c r="A42" s="176"/>
      <c r="B42" s="185"/>
      <c r="C42" s="31">
        <v>3112</v>
      </c>
      <c r="D42" s="18">
        <v>38</v>
      </c>
      <c r="E42" s="5"/>
      <c r="F42" s="179"/>
    </row>
    <row r="43" spans="1:6" ht="25.5">
      <c r="A43" s="28">
        <v>9</v>
      </c>
      <c r="B43" s="28" t="s">
        <v>75</v>
      </c>
      <c r="C43" s="37">
        <v>2214</v>
      </c>
      <c r="D43" s="5">
        <v>155.30000000000001</v>
      </c>
      <c r="E43" s="5"/>
      <c r="F43" s="38" t="s">
        <v>17</v>
      </c>
    </row>
    <row r="44" spans="1:6">
      <c r="A44" s="174">
        <v>10</v>
      </c>
      <c r="B44" s="183" t="s">
        <v>7</v>
      </c>
      <c r="C44" s="37">
        <v>2111</v>
      </c>
      <c r="D44" s="5">
        <v>164.4</v>
      </c>
      <c r="E44" s="5"/>
      <c r="F44" s="177" t="s">
        <v>68</v>
      </c>
    </row>
    <row r="45" spans="1:6">
      <c r="A45" s="175"/>
      <c r="B45" s="184"/>
      <c r="C45" s="37">
        <v>2121</v>
      </c>
      <c r="D45" s="5">
        <v>28.4</v>
      </c>
      <c r="E45" s="5"/>
      <c r="F45" s="179"/>
    </row>
    <row r="46" spans="1:6">
      <c r="A46" s="175"/>
      <c r="B46" s="184"/>
      <c r="C46" s="162">
        <v>2214</v>
      </c>
      <c r="D46" s="5">
        <v>20</v>
      </c>
      <c r="E46" s="5"/>
      <c r="F46" s="163" t="s">
        <v>70</v>
      </c>
    </row>
    <row r="47" spans="1:6">
      <c r="A47" s="175"/>
      <c r="B47" s="184"/>
      <c r="C47" s="37">
        <v>2214</v>
      </c>
      <c r="D47" s="5">
        <v>1.5</v>
      </c>
      <c r="E47" s="5"/>
      <c r="F47" s="177" t="s">
        <v>17</v>
      </c>
    </row>
    <row r="48" spans="1:6" ht="13.9" customHeight="1">
      <c r="A48" s="175"/>
      <c r="B48" s="184"/>
      <c r="C48" s="37">
        <v>2215</v>
      </c>
      <c r="D48" s="5">
        <f>69.6+36.3+20.8+8.6+200</f>
        <v>335.29999999999995</v>
      </c>
      <c r="E48" s="5"/>
      <c r="F48" s="178"/>
    </row>
    <row r="49" spans="1:6">
      <c r="A49" s="175"/>
      <c r="B49" s="184"/>
      <c r="C49" s="37">
        <v>2221</v>
      </c>
      <c r="D49" s="5">
        <v>1.7</v>
      </c>
      <c r="E49" s="5"/>
      <c r="F49" s="178"/>
    </row>
    <row r="50" spans="1:6">
      <c r="A50" s="176"/>
      <c r="B50" s="185"/>
      <c r="C50" s="37">
        <v>3112</v>
      </c>
      <c r="D50" s="5">
        <v>2.7</v>
      </c>
      <c r="E50" s="5"/>
      <c r="F50" s="179"/>
    </row>
    <row r="51" spans="1:6" ht="25.5">
      <c r="A51" s="116">
        <v>11</v>
      </c>
      <c r="B51" s="118" t="s">
        <v>13</v>
      </c>
      <c r="C51" s="114">
        <v>2511</v>
      </c>
      <c r="D51" s="5">
        <v>260</v>
      </c>
      <c r="E51" s="5"/>
      <c r="F51" s="117" t="s">
        <v>208</v>
      </c>
    </row>
    <row r="52" spans="1:6">
      <c r="A52" s="174">
        <v>12</v>
      </c>
      <c r="B52" s="177" t="s">
        <v>11</v>
      </c>
      <c r="C52" s="37">
        <v>2214</v>
      </c>
      <c r="D52" s="5">
        <v>0.1</v>
      </c>
      <c r="E52" s="5"/>
      <c r="F52" s="177" t="s">
        <v>17</v>
      </c>
    </row>
    <row r="53" spans="1:6">
      <c r="A53" s="175"/>
      <c r="B53" s="178"/>
      <c r="C53" s="37">
        <v>2215</v>
      </c>
      <c r="D53" s="5">
        <v>1.2</v>
      </c>
      <c r="E53" s="5"/>
      <c r="F53" s="178"/>
    </row>
    <row r="54" spans="1:6">
      <c r="A54" s="175"/>
      <c r="B54" s="178"/>
      <c r="C54" s="37">
        <v>2222</v>
      </c>
      <c r="D54" s="5">
        <v>5</v>
      </c>
      <c r="E54" s="5"/>
      <c r="F54" s="178"/>
    </row>
    <row r="55" spans="1:6">
      <c r="A55" s="176"/>
      <c r="B55" s="179"/>
      <c r="C55" s="37">
        <v>3112</v>
      </c>
      <c r="D55" s="5">
        <f>1.2+2</f>
        <v>3.2</v>
      </c>
      <c r="E55" s="5"/>
      <c r="F55" s="179"/>
    </row>
    <row r="56" spans="1:6" ht="25.5">
      <c r="A56" s="37">
        <v>13</v>
      </c>
      <c r="B56" s="35" t="s">
        <v>216</v>
      </c>
      <c r="C56" s="37">
        <v>2215</v>
      </c>
      <c r="D56" s="5">
        <f>4+6.9+5.7</f>
        <v>16.600000000000001</v>
      </c>
      <c r="E56" s="5"/>
      <c r="F56" s="38" t="s">
        <v>17</v>
      </c>
    </row>
    <row r="57" spans="1:6" ht="25.5">
      <c r="A57" s="37">
        <v>14</v>
      </c>
      <c r="B57" s="35" t="s">
        <v>69</v>
      </c>
      <c r="C57" s="37">
        <v>2215</v>
      </c>
      <c r="D57" s="24">
        <f>4.1+31</f>
        <v>35.1</v>
      </c>
      <c r="E57" s="12"/>
      <c r="F57" s="38" t="s">
        <v>17</v>
      </c>
    </row>
    <row r="58" spans="1:6" ht="13.9" customHeight="1">
      <c r="A58" s="174">
        <v>15</v>
      </c>
      <c r="B58" s="180" t="s">
        <v>8</v>
      </c>
      <c r="C58" s="37">
        <v>2215</v>
      </c>
      <c r="D58" s="5">
        <v>49</v>
      </c>
      <c r="E58" s="5"/>
      <c r="F58" s="180" t="s">
        <v>17</v>
      </c>
    </row>
    <row r="59" spans="1:6">
      <c r="A59" s="175"/>
      <c r="B59" s="180"/>
      <c r="C59" s="37">
        <v>2221</v>
      </c>
      <c r="D59" s="5">
        <f>223.2+107.5</f>
        <v>330.7</v>
      </c>
      <c r="E59" s="5"/>
      <c r="F59" s="180"/>
    </row>
    <row r="60" spans="1:6">
      <c r="A60" s="175"/>
      <c r="B60" s="180"/>
      <c r="C60" s="37">
        <v>2222</v>
      </c>
      <c r="D60" s="5">
        <v>62.3</v>
      </c>
      <c r="E60" s="5"/>
      <c r="F60" s="180"/>
    </row>
    <row r="61" spans="1:6">
      <c r="A61" s="175"/>
      <c r="B61" s="180"/>
      <c r="C61" s="37">
        <v>2224</v>
      </c>
      <c r="D61" s="5">
        <v>91.1</v>
      </c>
      <c r="E61" s="5"/>
      <c r="F61" s="180"/>
    </row>
    <row r="62" spans="1:6">
      <c r="A62" s="176"/>
      <c r="B62" s="180"/>
      <c r="C62" s="37">
        <v>3112</v>
      </c>
      <c r="D62" s="5">
        <v>53.2</v>
      </c>
      <c r="E62" s="5"/>
      <c r="F62" s="180"/>
    </row>
    <row r="63" spans="1:6" ht="13.9" customHeight="1">
      <c r="A63" s="174">
        <v>16</v>
      </c>
      <c r="B63" s="177" t="s">
        <v>9</v>
      </c>
      <c r="C63" s="37">
        <v>2215</v>
      </c>
      <c r="D63" s="5">
        <v>4.0999999999999996</v>
      </c>
      <c r="E63" s="5"/>
      <c r="F63" s="177" t="s">
        <v>17</v>
      </c>
    </row>
    <row r="64" spans="1:6">
      <c r="A64" s="175"/>
      <c r="B64" s="178"/>
      <c r="C64" s="37">
        <v>2218</v>
      </c>
      <c r="D64" s="5">
        <f>2.4+11.4</f>
        <v>13.8</v>
      </c>
      <c r="E64" s="5"/>
      <c r="F64" s="178"/>
    </row>
    <row r="65" spans="1:6">
      <c r="A65" s="175"/>
      <c r="B65" s="178"/>
      <c r="C65" s="37">
        <v>2221</v>
      </c>
      <c r="D65" s="5">
        <v>2.9</v>
      </c>
      <c r="E65" s="5"/>
      <c r="F65" s="178"/>
    </row>
    <row r="66" spans="1:6">
      <c r="A66" s="175"/>
      <c r="B66" s="178"/>
      <c r="C66" s="32">
        <v>2222</v>
      </c>
      <c r="D66" s="6">
        <v>84.5</v>
      </c>
      <c r="E66" s="5"/>
      <c r="F66" s="178"/>
    </row>
    <row r="67" spans="1:6">
      <c r="A67" s="175"/>
      <c r="B67" s="178"/>
      <c r="C67" s="32">
        <v>2224</v>
      </c>
      <c r="D67" s="6">
        <v>27.3</v>
      </c>
      <c r="E67" s="5"/>
      <c r="F67" s="178"/>
    </row>
    <row r="68" spans="1:6">
      <c r="A68" s="176"/>
      <c r="B68" s="179"/>
      <c r="C68" s="32">
        <v>3112</v>
      </c>
      <c r="D68" s="6">
        <v>2</v>
      </c>
      <c r="E68" s="5"/>
      <c r="F68" s="179"/>
    </row>
    <row r="69" spans="1:6" ht="13.9" customHeight="1">
      <c r="A69" s="174">
        <v>17</v>
      </c>
      <c r="B69" s="177" t="s">
        <v>10</v>
      </c>
      <c r="C69" s="32">
        <v>2221</v>
      </c>
      <c r="D69" s="6">
        <v>7.7</v>
      </c>
      <c r="E69" s="5"/>
      <c r="F69" s="177" t="s">
        <v>17</v>
      </c>
    </row>
    <row r="70" spans="1:6">
      <c r="A70" s="175"/>
      <c r="B70" s="178"/>
      <c r="C70" s="32">
        <v>2222</v>
      </c>
      <c r="D70" s="6">
        <v>2.5</v>
      </c>
      <c r="E70" s="5"/>
      <c r="F70" s="178"/>
    </row>
    <row r="71" spans="1:6">
      <c r="A71" s="176"/>
      <c r="B71" s="179"/>
      <c r="C71" s="37">
        <v>2223</v>
      </c>
      <c r="D71" s="5">
        <v>8.9</v>
      </c>
      <c r="E71" s="5"/>
      <c r="F71" s="179"/>
    </row>
    <row r="72" spans="1:6">
      <c r="A72" s="37">
        <v>18</v>
      </c>
      <c r="B72" s="35" t="s">
        <v>2</v>
      </c>
      <c r="C72" s="37">
        <v>2721</v>
      </c>
      <c r="D72" s="5">
        <v>14</v>
      </c>
      <c r="E72" s="5"/>
      <c r="F72" s="38" t="s">
        <v>71</v>
      </c>
    </row>
    <row r="73" spans="1:6">
      <c r="A73" s="174">
        <v>1</v>
      </c>
      <c r="B73" s="177" t="s">
        <v>12</v>
      </c>
      <c r="C73" s="37">
        <v>2111</v>
      </c>
      <c r="D73" s="7"/>
      <c r="E73" s="5">
        <v>47.2</v>
      </c>
      <c r="F73" s="177" t="s">
        <v>81</v>
      </c>
    </row>
    <row r="74" spans="1:6">
      <c r="A74" s="175"/>
      <c r="B74" s="178"/>
      <c r="C74" s="37">
        <v>2121</v>
      </c>
      <c r="D74" s="7"/>
      <c r="E74" s="5">
        <v>6.7</v>
      </c>
      <c r="F74" s="179"/>
    </row>
    <row r="75" spans="1:6" ht="25.5">
      <c r="A75" s="175"/>
      <c r="B75" s="178"/>
      <c r="C75" s="37">
        <v>2823</v>
      </c>
      <c r="D75" s="7"/>
      <c r="E75" s="5">
        <v>282.5</v>
      </c>
      <c r="F75" s="38" t="s">
        <v>38</v>
      </c>
    </row>
    <row r="76" spans="1:6">
      <c r="A76" s="175"/>
      <c r="B76" s="178"/>
      <c r="C76" s="114">
        <v>2222</v>
      </c>
      <c r="D76" s="7"/>
      <c r="E76" s="5">
        <v>400</v>
      </c>
      <c r="F76" s="110" t="s">
        <v>194</v>
      </c>
    </row>
    <row r="77" spans="1:6">
      <c r="A77" s="175"/>
      <c r="B77" s="178"/>
      <c r="C77" s="120">
        <v>2215</v>
      </c>
      <c r="D77" s="7"/>
      <c r="E77" s="5">
        <v>60</v>
      </c>
      <c r="F77" s="110" t="s">
        <v>221</v>
      </c>
    </row>
    <row r="78" spans="1:6">
      <c r="A78" s="175"/>
      <c r="B78" s="178"/>
      <c r="C78" s="37">
        <v>2215</v>
      </c>
      <c r="D78" s="7"/>
      <c r="E78" s="12">
        <v>12.4</v>
      </c>
      <c r="F78" s="38" t="s">
        <v>79</v>
      </c>
    </row>
    <row r="79" spans="1:6" ht="25.5">
      <c r="A79" s="175"/>
      <c r="B79" s="178"/>
      <c r="C79" s="107">
        <v>2221</v>
      </c>
      <c r="D79" s="7"/>
      <c r="E79" s="12">
        <v>38</v>
      </c>
      <c r="F79" s="38" t="s">
        <v>80</v>
      </c>
    </row>
    <row r="80" spans="1:6">
      <c r="A80" s="175"/>
      <c r="B80" s="178"/>
      <c r="C80" s="107">
        <v>2231</v>
      </c>
      <c r="D80" s="7"/>
      <c r="E80" s="8">
        <v>50</v>
      </c>
      <c r="F80" s="110" t="s">
        <v>197</v>
      </c>
    </row>
    <row r="81" spans="1:8" ht="38.25">
      <c r="A81" s="175"/>
      <c r="B81" s="178"/>
      <c r="C81" s="37">
        <v>3111</v>
      </c>
      <c r="D81" s="7"/>
      <c r="E81" s="12">
        <v>1500</v>
      </c>
      <c r="F81" s="38" t="s">
        <v>183</v>
      </c>
    </row>
    <row r="82" spans="1:8" ht="25.5">
      <c r="A82" s="175"/>
      <c r="B82" s="178"/>
      <c r="C82" s="162">
        <v>3111</v>
      </c>
      <c r="D82" s="7"/>
      <c r="E82" s="12">
        <v>90</v>
      </c>
      <c r="F82" s="164" t="s">
        <v>264</v>
      </c>
    </row>
    <row r="83" spans="1:8" ht="25.5">
      <c r="A83" s="176"/>
      <c r="B83" s="179"/>
      <c r="C83" s="37">
        <v>3112</v>
      </c>
      <c r="D83" s="7"/>
      <c r="E83" s="12">
        <v>18142.2</v>
      </c>
      <c r="F83" s="38" t="s">
        <v>95</v>
      </c>
      <c r="H83" s="30"/>
    </row>
    <row r="84" spans="1:8">
      <c r="A84" s="174">
        <v>2</v>
      </c>
      <c r="B84" s="177" t="s">
        <v>30</v>
      </c>
      <c r="C84" s="37">
        <v>2215</v>
      </c>
      <c r="D84" s="7"/>
      <c r="E84" s="12">
        <v>6.4</v>
      </c>
      <c r="F84" s="38" t="s">
        <v>49</v>
      </c>
    </row>
    <row r="85" spans="1:8">
      <c r="A85" s="176"/>
      <c r="B85" s="179"/>
      <c r="C85" s="37">
        <v>2231</v>
      </c>
      <c r="D85" s="7"/>
      <c r="E85" s="12">
        <v>22.2</v>
      </c>
      <c r="F85" s="38" t="s">
        <v>50</v>
      </c>
    </row>
    <row r="86" spans="1:8">
      <c r="A86" s="174">
        <v>3</v>
      </c>
      <c r="B86" s="177" t="s">
        <v>19</v>
      </c>
      <c r="C86" s="37">
        <v>2111</v>
      </c>
      <c r="D86" s="7"/>
      <c r="E86" s="12">
        <v>19.7</v>
      </c>
      <c r="F86" s="177" t="s">
        <v>207</v>
      </c>
    </row>
    <row r="87" spans="1:8">
      <c r="A87" s="175"/>
      <c r="B87" s="178"/>
      <c r="C87" s="37">
        <v>2121</v>
      </c>
      <c r="D87" s="7"/>
      <c r="E87" s="12">
        <v>3.4</v>
      </c>
      <c r="F87" s="179"/>
    </row>
    <row r="88" spans="1:8">
      <c r="A88" s="176"/>
      <c r="B88" s="179"/>
      <c r="C88" s="37">
        <v>2214</v>
      </c>
      <c r="D88" s="7"/>
      <c r="E88" s="12">
        <v>20</v>
      </c>
      <c r="F88" s="33" t="s">
        <v>212</v>
      </c>
    </row>
    <row r="89" spans="1:8">
      <c r="A89" s="174">
        <v>4</v>
      </c>
      <c r="B89" s="177" t="s">
        <v>29</v>
      </c>
      <c r="C89" s="114">
        <v>2214</v>
      </c>
      <c r="D89" s="7"/>
      <c r="E89" s="12">
        <v>20</v>
      </c>
      <c r="F89" s="113" t="s">
        <v>211</v>
      </c>
    </row>
    <row r="90" spans="1:8">
      <c r="A90" s="175"/>
      <c r="B90" s="178"/>
      <c r="C90" s="37">
        <v>2215</v>
      </c>
      <c r="D90" s="7"/>
      <c r="E90" s="12">
        <v>25</v>
      </c>
      <c r="F90" s="38" t="s">
        <v>32</v>
      </c>
    </row>
    <row r="91" spans="1:8">
      <c r="A91" s="176"/>
      <c r="B91" s="179"/>
      <c r="C91" s="37">
        <v>2231</v>
      </c>
      <c r="D91" s="7"/>
      <c r="E91" s="12">
        <v>20</v>
      </c>
      <c r="F91" s="38" t="s">
        <v>33</v>
      </c>
    </row>
    <row r="92" spans="1:8">
      <c r="A92" s="174">
        <v>5</v>
      </c>
      <c r="B92" s="177" t="s">
        <v>4</v>
      </c>
      <c r="C92" s="125">
        <v>2214</v>
      </c>
      <c r="D92" s="7"/>
      <c r="E92" s="12">
        <v>1000</v>
      </c>
      <c r="F92" s="126" t="s">
        <v>31</v>
      </c>
    </row>
    <row r="93" spans="1:8">
      <c r="A93" s="175"/>
      <c r="B93" s="178"/>
      <c r="C93" s="128">
        <v>2214</v>
      </c>
      <c r="D93" s="8"/>
      <c r="E93" s="12">
        <v>412</v>
      </c>
      <c r="F93" s="129" t="s">
        <v>212</v>
      </c>
    </row>
    <row r="94" spans="1:8" ht="25.5">
      <c r="A94" s="175"/>
      <c r="B94" s="178"/>
      <c r="C94" s="37">
        <v>2215</v>
      </c>
      <c r="D94" s="7"/>
      <c r="E94" s="12">
        <v>50</v>
      </c>
      <c r="F94" s="38" t="s">
        <v>35</v>
      </c>
    </row>
    <row r="95" spans="1:8">
      <c r="A95" s="175"/>
      <c r="B95" s="178"/>
      <c r="C95" s="37">
        <v>2215</v>
      </c>
      <c r="D95" s="7"/>
      <c r="E95" s="12">
        <v>400</v>
      </c>
      <c r="F95" s="38" t="s">
        <v>47</v>
      </c>
    </row>
    <row r="96" spans="1:8">
      <c r="A96" s="175"/>
      <c r="B96" s="178"/>
      <c r="C96" s="114">
        <v>2221</v>
      </c>
      <c r="D96" s="7"/>
      <c r="E96" s="12">
        <v>260</v>
      </c>
      <c r="F96" s="119" t="s">
        <v>209</v>
      </c>
    </row>
    <row r="97" spans="1:8" ht="25.5">
      <c r="A97" s="175"/>
      <c r="B97" s="178"/>
      <c r="C97" s="37">
        <v>2222</v>
      </c>
      <c r="D97" s="24">
        <v>200</v>
      </c>
      <c r="E97" s="12"/>
      <c r="F97" s="38" t="s">
        <v>99</v>
      </c>
    </row>
    <row r="98" spans="1:8" ht="25.5">
      <c r="A98" s="175"/>
      <c r="B98" s="178"/>
      <c r="C98" s="37">
        <v>2222</v>
      </c>
      <c r="D98" s="7"/>
      <c r="E98" s="12">
        <v>200</v>
      </c>
      <c r="F98" s="38" t="s">
        <v>100</v>
      </c>
    </row>
    <row r="99" spans="1:8">
      <c r="A99" s="175"/>
      <c r="B99" s="178"/>
      <c r="C99" s="3">
        <v>2222</v>
      </c>
      <c r="D99" s="7"/>
      <c r="E99" s="8">
        <v>35</v>
      </c>
      <c r="F99" s="38" t="s">
        <v>261</v>
      </c>
    </row>
    <row r="100" spans="1:8">
      <c r="A100" s="175"/>
      <c r="B100" s="178"/>
      <c r="C100" s="3">
        <v>2223</v>
      </c>
      <c r="D100" s="7"/>
      <c r="E100" s="8">
        <v>200</v>
      </c>
      <c r="F100" s="38" t="s">
        <v>260</v>
      </c>
    </row>
    <row r="101" spans="1:8">
      <c r="A101" s="175"/>
      <c r="B101" s="178"/>
      <c r="C101" s="3">
        <v>2224</v>
      </c>
      <c r="D101" s="7"/>
      <c r="E101" s="8">
        <v>300</v>
      </c>
      <c r="F101" s="164" t="s">
        <v>259</v>
      </c>
    </row>
    <row r="102" spans="1:8">
      <c r="A102" s="176"/>
      <c r="B102" s="179"/>
      <c r="C102" s="3">
        <v>3122</v>
      </c>
      <c r="D102" s="7"/>
      <c r="E102" s="8">
        <v>1400</v>
      </c>
      <c r="F102" s="110" t="s">
        <v>36</v>
      </c>
    </row>
    <row r="103" spans="1:8" ht="25.5">
      <c r="A103" s="174">
        <v>6</v>
      </c>
      <c r="B103" s="177" t="s">
        <v>5</v>
      </c>
      <c r="C103" s="37">
        <v>3111</v>
      </c>
      <c r="D103" s="7"/>
      <c r="E103" s="12">
        <v>3430.4</v>
      </c>
      <c r="F103" s="33" t="s">
        <v>85</v>
      </c>
      <c r="H103" s="30"/>
    </row>
    <row r="104" spans="1:8">
      <c r="A104" s="175"/>
      <c r="B104" s="178"/>
      <c r="C104" s="37">
        <v>3111</v>
      </c>
      <c r="D104" s="7"/>
      <c r="E104" s="12">
        <v>650</v>
      </c>
      <c r="F104" s="33" t="s">
        <v>78</v>
      </c>
    </row>
    <row r="105" spans="1:8">
      <c r="A105" s="175"/>
      <c r="B105" s="178"/>
      <c r="C105" s="37">
        <v>3111</v>
      </c>
      <c r="D105" s="7"/>
      <c r="E105" s="12">
        <v>7883.9279999999999</v>
      </c>
      <c r="F105" s="33" t="s">
        <v>86</v>
      </c>
    </row>
    <row r="106" spans="1:8">
      <c r="A106" s="175"/>
      <c r="B106" s="178"/>
      <c r="C106" s="37">
        <v>3111</v>
      </c>
      <c r="D106" s="7"/>
      <c r="E106" s="12">
        <v>2371.1999999999998</v>
      </c>
      <c r="F106" s="33" t="s">
        <v>182</v>
      </c>
    </row>
    <row r="107" spans="1:8" ht="25.5">
      <c r="A107" s="176"/>
      <c r="B107" s="179"/>
      <c r="C107" s="37">
        <v>3111</v>
      </c>
      <c r="D107" s="7"/>
      <c r="E107" s="12">
        <v>4701.8</v>
      </c>
      <c r="F107" s="38" t="s">
        <v>22</v>
      </c>
    </row>
    <row r="108" spans="1:8">
      <c r="A108" s="174">
        <v>7</v>
      </c>
      <c r="B108" s="177" t="s">
        <v>6</v>
      </c>
      <c r="C108" s="32">
        <v>2215</v>
      </c>
      <c r="D108" s="9"/>
      <c r="E108" s="15">
        <v>40</v>
      </c>
      <c r="F108" s="16" t="s">
        <v>23</v>
      </c>
    </row>
    <row r="109" spans="1:8">
      <c r="A109" s="175"/>
      <c r="B109" s="178"/>
      <c r="C109" s="37">
        <v>2221</v>
      </c>
      <c r="D109" s="7"/>
      <c r="E109" s="12">
        <v>350</v>
      </c>
      <c r="F109" s="38" t="s">
        <v>24</v>
      </c>
    </row>
    <row r="110" spans="1:8">
      <c r="A110" s="175"/>
      <c r="B110" s="178"/>
      <c r="C110" s="37">
        <v>2222</v>
      </c>
      <c r="D110" s="7"/>
      <c r="E110" s="12">
        <v>1000</v>
      </c>
      <c r="F110" s="38" t="s">
        <v>25</v>
      </c>
    </row>
    <row r="111" spans="1:8">
      <c r="A111" s="175"/>
      <c r="B111" s="178"/>
      <c r="C111" s="37">
        <v>2222</v>
      </c>
      <c r="D111" s="7"/>
      <c r="E111" s="12">
        <v>60</v>
      </c>
      <c r="F111" s="38" t="s">
        <v>83</v>
      </c>
    </row>
    <row r="112" spans="1:8">
      <c r="A112" s="175"/>
      <c r="B112" s="178"/>
      <c r="C112" s="37">
        <v>2222</v>
      </c>
      <c r="D112" s="7"/>
      <c r="E112" s="12">
        <v>20</v>
      </c>
      <c r="F112" s="38" t="s">
        <v>26</v>
      </c>
    </row>
    <row r="113" spans="1:6">
      <c r="A113" s="175"/>
      <c r="B113" s="178"/>
      <c r="C113" s="37">
        <v>2222</v>
      </c>
      <c r="D113" s="7"/>
      <c r="E113" s="12">
        <v>300</v>
      </c>
      <c r="F113" s="38" t="s">
        <v>27</v>
      </c>
    </row>
    <row r="114" spans="1:6" ht="25.5">
      <c r="A114" s="175"/>
      <c r="B114" s="178"/>
      <c r="C114" s="37">
        <v>2222</v>
      </c>
      <c r="D114" s="7"/>
      <c r="E114" s="12">
        <v>400</v>
      </c>
      <c r="F114" s="38" t="s">
        <v>28</v>
      </c>
    </row>
    <row r="115" spans="1:6">
      <c r="A115" s="175"/>
      <c r="B115" s="178"/>
      <c r="C115" s="37">
        <v>2231</v>
      </c>
      <c r="D115" s="7"/>
      <c r="E115" s="12">
        <v>500</v>
      </c>
      <c r="F115" s="38" t="s">
        <v>104</v>
      </c>
    </row>
    <row r="116" spans="1:6" ht="25.5">
      <c r="A116" s="175"/>
      <c r="B116" s="178"/>
      <c r="C116" s="37">
        <v>3111</v>
      </c>
      <c r="D116" s="7"/>
      <c r="E116" s="12">
        <v>1083.5999999999999</v>
      </c>
      <c r="F116" s="38" t="s">
        <v>84</v>
      </c>
    </row>
    <row r="117" spans="1:6">
      <c r="A117" s="175"/>
      <c r="B117" s="178"/>
      <c r="C117" s="125">
        <v>3111</v>
      </c>
      <c r="D117" s="7"/>
      <c r="E117" s="12">
        <v>1000</v>
      </c>
      <c r="F117" s="126" t="s">
        <v>220</v>
      </c>
    </row>
    <row r="118" spans="1:6" ht="15" customHeight="1">
      <c r="A118" s="174">
        <v>8</v>
      </c>
      <c r="B118" s="177" t="s">
        <v>7</v>
      </c>
      <c r="C118" s="3">
        <v>2111</v>
      </c>
      <c r="D118" s="7"/>
      <c r="E118" s="8">
        <v>190.1</v>
      </c>
      <c r="F118" s="177" t="s">
        <v>214</v>
      </c>
    </row>
    <row r="119" spans="1:6">
      <c r="A119" s="175"/>
      <c r="B119" s="178"/>
      <c r="C119" s="3">
        <v>2121</v>
      </c>
      <c r="D119" s="7"/>
      <c r="E119" s="8">
        <v>32.799999999999997</v>
      </c>
      <c r="F119" s="179"/>
    </row>
    <row r="120" spans="1:6">
      <c r="A120" s="175"/>
      <c r="B120" s="178"/>
      <c r="C120" s="3">
        <v>2215</v>
      </c>
      <c r="D120" s="7"/>
      <c r="E120" s="8">
        <v>300</v>
      </c>
      <c r="F120" s="110" t="s">
        <v>204</v>
      </c>
    </row>
    <row r="121" spans="1:6" ht="25.5">
      <c r="A121" s="175"/>
      <c r="B121" s="178"/>
      <c r="C121" s="3">
        <v>2215</v>
      </c>
      <c r="D121" s="7"/>
      <c r="E121" s="8">
        <v>579</v>
      </c>
      <c r="F121" s="38" t="s">
        <v>37</v>
      </c>
    </row>
    <row r="122" spans="1:6">
      <c r="A122" s="175"/>
      <c r="B122" s="178"/>
      <c r="C122" s="3">
        <v>2222</v>
      </c>
      <c r="D122" s="7"/>
      <c r="E122" s="8">
        <v>300</v>
      </c>
      <c r="F122" s="119" t="s">
        <v>215</v>
      </c>
    </row>
    <row r="123" spans="1:6">
      <c r="A123" s="176"/>
      <c r="B123" s="179"/>
      <c r="C123" s="3">
        <v>2231</v>
      </c>
      <c r="D123" s="7"/>
      <c r="E123" s="8">
        <v>20</v>
      </c>
      <c r="F123" s="164" t="s">
        <v>33</v>
      </c>
    </row>
    <row r="124" spans="1:6">
      <c r="A124" s="182">
        <v>9</v>
      </c>
      <c r="B124" s="180" t="s">
        <v>3</v>
      </c>
      <c r="C124" s="3">
        <v>2214</v>
      </c>
      <c r="D124" s="7"/>
      <c r="E124" s="8">
        <v>30</v>
      </c>
      <c r="F124" s="38" t="s">
        <v>51</v>
      </c>
    </row>
    <row r="125" spans="1:6" ht="25.5">
      <c r="A125" s="182"/>
      <c r="B125" s="180"/>
      <c r="C125" s="3">
        <v>2215</v>
      </c>
      <c r="D125" s="7"/>
      <c r="E125" s="8">
        <v>30</v>
      </c>
      <c r="F125" s="38" t="s">
        <v>53</v>
      </c>
    </row>
    <row r="126" spans="1:6">
      <c r="A126" s="182"/>
      <c r="B126" s="180"/>
      <c r="C126" s="3">
        <v>2215</v>
      </c>
      <c r="D126" s="7"/>
      <c r="E126" s="8">
        <v>4.5</v>
      </c>
      <c r="F126" s="38" t="s">
        <v>49</v>
      </c>
    </row>
    <row r="127" spans="1:6">
      <c r="A127" s="182"/>
      <c r="B127" s="180"/>
      <c r="C127" s="3">
        <v>2215</v>
      </c>
      <c r="D127" s="7"/>
      <c r="E127" s="8">
        <v>40</v>
      </c>
      <c r="F127" s="38" t="s">
        <v>52</v>
      </c>
    </row>
    <row r="128" spans="1:6">
      <c r="A128" s="182"/>
      <c r="B128" s="180"/>
      <c r="C128" s="3">
        <v>2222</v>
      </c>
      <c r="D128" s="7"/>
      <c r="E128" s="8">
        <v>15</v>
      </c>
      <c r="F128" s="38" t="s">
        <v>54</v>
      </c>
    </row>
    <row r="129" spans="1:6" ht="25.5">
      <c r="A129" s="182"/>
      <c r="B129" s="180"/>
      <c r="C129" s="3">
        <v>2222</v>
      </c>
      <c r="D129" s="7"/>
      <c r="E129" s="8">
        <v>150</v>
      </c>
      <c r="F129" s="38" t="s">
        <v>55</v>
      </c>
    </row>
    <row r="130" spans="1:6">
      <c r="A130" s="182"/>
      <c r="B130" s="180"/>
      <c r="C130" s="3">
        <v>2222</v>
      </c>
      <c r="D130" s="7"/>
      <c r="E130" s="8">
        <v>70</v>
      </c>
      <c r="F130" s="38" t="s">
        <v>56</v>
      </c>
    </row>
    <row r="131" spans="1:6" ht="25.5">
      <c r="A131" s="182"/>
      <c r="B131" s="180"/>
      <c r="C131" s="3">
        <v>2231</v>
      </c>
      <c r="D131" s="7"/>
      <c r="E131" s="8">
        <v>100</v>
      </c>
      <c r="F131" s="38" t="s">
        <v>57</v>
      </c>
    </row>
    <row r="132" spans="1:6" ht="25.5">
      <c r="A132" s="182"/>
      <c r="B132" s="180"/>
      <c r="C132" s="114">
        <v>3113</v>
      </c>
      <c r="D132" s="7">
        <v>240</v>
      </c>
      <c r="E132" s="8"/>
      <c r="F132" s="119" t="s">
        <v>203</v>
      </c>
    </row>
    <row r="133" spans="1:6">
      <c r="A133" s="182"/>
      <c r="B133" s="180"/>
      <c r="C133" s="114">
        <v>3113</v>
      </c>
      <c r="D133" s="7"/>
      <c r="E133" s="8">
        <v>240</v>
      </c>
      <c r="F133" s="119" t="s">
        <v>201</v>
      </c>
    </row>
    <row r="134" spans="1:6" ht="25.5">
      <c r="A134" s="182"/>
      <c r="B134" s="180"/>
      <c r="C134" s="112">
        <v>3113</v>
      </c>
      <c r="D134" s="7"/>
      <c r="E134" s="8">
        <v>180</v>
      </c>
      <c r="F134" s="119" t="s">
        <v>205</v>
      </c>
    </row>
    <row r="135" spans="1:6" ht="25.5">
      <c r="A135" s="182"/>
      <c r="B135" s="180"/>
      <c r="C135" s="3">
        <v>3113</v>
      </c>
      <c r="D135" s="7"/>
      <c r="E135" s="8">
        <v>1350</v>
      </c>
      <c r="F135" s="119" t="s">
        <v>58</v>
      </c>
    </row>
    <row r="136" spans="1:6" ht="25.5">
      <c r="A136" s="182"/>
      <c r="B136" s="180"/>
      <c r="C136" s="3">
        <v>3113</v>
      </c>
      <c r="D136" s="7"/>
      <c r="E136" s="8">
        <v>80</v>
      </c>
      <c r="F136" s="38" t="s">
        <v>59</v>
      </c>
    </row>
    <row r="137" spans="1:6">
      <c r="A137" s="174">
        <v>10</v>
      </c>
      <c r="B137" s="177" t="s">
        <v>75</v>
      </c>
      <c r="C137" s="3">
        <v>2111</v>
      </c>
      <c r="D137" s="7"/>
      <c r="E137" s="5">
        <v>3814.2</v>
      </c>
      <c r="F137" s="38" t="s">
        <v>193</v>
      </c>
    </row>
    <row r="138" spans="1:6">
      <c r="A138" s="175"/>
      <c r="B138" s="178"/>
      <c r="C138" s="3">
        <v>2121</v>
      </c>
      <c r="D138" s="7"/>
      <c r="E138" s="5">
        <v>795.1</v>
      </c>
      <c r="F138" s="38" t="s">
        <v>76</v>
      </c>
    </row>
    <row r="139" spans="1:6">
      <c r="A139" s="176"/>
      <c r="B139" s="179"/>
      <c r="C139" s="3">
        <v>2214</v>
      </c>
      <c r="D139" s="7"/>
      <c r="E139" s="8">
        <v>1000</v>
      </c>
      <c r="F139" s="38" t="s">
        <v>192</v>
      </c>
    </row>
    <row r="140" spans="1:6">
      <c r="A140" s="175">
        <v>11</v>
      </c>
      <c r="B140" s="178" t="s">
        <v>13</v>
      </c>
      <c r="C140" s="37">
        <v>2511</v>
      </c>
      <c r="D140" s="7">
        <v>700</v>
      </c>
      <c r="E140" s="12"/>
      <c r="F140" s="180" t="s">
        <v>21</v>
      </c>
    </row>
    <row r="141" spans="1:6" ht="24" customHeight="1">
      <c r="A141" s="175"/>
      <c r="B141" s="178"/>
      <c r="C141" s="37">
        <v>2511</v>
      </c>
      <c r="D141" s="7"/>
      <c r="E141" s="12">
        <v>700</v>
      </c>
      <c r="F141" s="180"/>
    </row>
    <row r="142" spans="1:6" ht="25.5">
      <c r="A142" s="175"/>
      <c r="B142" s="178"/>
      <c r="C142" s="37">
        <v>2511</v>
      </c>
      <c r="D142" s="7"/>
      <c r="E142" s="12">
        <v>4877.8999999999996</v>
      </c>
      <c r="F142" s="36" t="s">
        <v>191</v>
      </c>
    </row>
    <row r="143" spans="1:6">
      <c r="A143" s="175"/>
      <c r="B143" s="178"/>
      <c r="C143" s="114">
        <v>2511</v>
      </c>
      <c r="D143" s="7"/>
      <c r="E143" s="12">
        <v>800</v>
      </c>
      <c r="F143" s="115" t="s">
        <v>210</v>
      </c>
    </row>
    <row r="144" spans="1:6" ht="26.25">
      <c r="A144" s="176"/>
      <c r="B144" s="179"/>
      <c r="C144" s="114">
        <v>2511</v>
      </c>
      <c r="D144" s="7"/>
      <c r="E144" s="12">
        <v>260</v>
      </c>
      <c r="F144" s="111" t="s">
        <v>198</v>
      </c>
    </row>
    <row r="145" spans="1:6">
      <c r="A145" s="116">
        <v>12</v>
      </c>
      <c r="B145" s="113" t="s">
        <v>69</v>
      </c>
      <c r="C145" s="114">
        <v>2215</v>
      </c>
      <c r="D145" s="7"/>
      <c r="E145" s="12">
        <v>500</v>
      </c>
      <c r="F145" s="111" t="s">
        <v>200</v>
      </c>
    </row>
    <row r="146" spans="1:6">
      <c r="A146" s="174">
        <v>13</v>
      </c>
      <c r="B146" s="177" t="s">
        <v>216</v>
      </c>
      <c r="C146" s="114">
        <v>2215</v>
      </c>
      <c r="D146" s="7">
        <v>795</v>
      </c>
      <c r="E146" s="12"/>
      <c r="F146" s="111" t="s">
        <v>217</v>
      </c>
    </row>
    <row r="147" spans="1:6" ht="26.25">
      <c r="A147" s="176"/>
      <c r="B147" s="179"/>
      <c r="C147" s="114">
        <v>2215</v>
      </c>
      <c r="D147" s="7"/>
      <c r="E147" s="12">
        <v>795</v>
      </c>
      <c r="F147" s="111" t="s">
        <v>218</v>
      </c>
    </row>
    <row r="148" spans="1:6">
      <c r="A148" s="174">
        <v>14</v>
      </c>
      <c r="B148" s="180" t="s">
        <v>48</v>
      </c>
      <c r="C148" s="3">
        <v>2215</v>
      </c>
      <c r="D148" s="7">
        <v>20</v>
      </c>
      <c r="E148" s="8"/>
      <c r="F148" s="180" t="s">
        <v>72</v>
      </c>
    </row>
    <row r="149" spans="1:6">
      <c r="A149" s="176"/>
      <c r="B149" s="180"/>
      <c r="C149" s="3">
        <v>2215</v>
      </c>
      <c r="D149" s="7"/>
      <c r="E149" s="7">
        <v>20</v>
      </c>
      <c r="F149" s="180"/>
    </row>
    <row r="150" spans="1:6" ht="25.5">
      <c r="A150" s="116">
        <v>15</v>
      </c>
      <c r="B150" s="34" t="s">
        <v>11</v>
      </c>
      <c r="C150" s="37">
        <v>2215</v>
      </c>
      <c r="D150" s="7"/>
      <c r="E150" s="29">
        <v>35.299999999999997</v>
      </c>
      <c r="F150" s="38" t="s">
        <v>98</v>
      </c>
    </row>
    <row r="151" spans="1:6">
      <c r="A151" s="174">
        <v>16</v>
      </c>
      <c r="B151" s="180" t="s">
        <v>8</v>
      </c>
      <c r="C151" s="37">
        <v>2231</v>
      </c>
      <c r="D151" s="7"/>
      <c r="E151" s="12">
        <v>617.6</v>
      </c>
      <c r="F151" s="38" t="s">
        <v>39</v>
      </c>
    </row>
    <row r="152" spans="1:6">
      <c r="A152" s="175"/>
      <c r="B152" s="180"/>
      <c r="C152" s="37">
        <v>2231</v>
      </c>
      <c r="D152" s="7"/>
      <c r="E152" s="12">
        <v>178.9</v>
      </c>
      <c r="F152" s="38" t="s">
        <v>40</v>
      </c>
    </row>
    <row r="153" spans="1:6">
      <c r="A153" s="176"/>
      <c r="B153" s="180"/>
      <c r="C153" s="37">
        <v>2231</v>
      </c>
      <c r="D153" s="7"/>
      <c r="E153" s="12">
        <v>415.9</v>
      </c>
      <c r="F153" s="38" t="s">
        <v>88</v>
      </c>
    </row>
    <row r="154" spans="1:6" ht="29.45" customHeight="1">
      <c r="A154" s="174">
        <v>17</v>
      </c>
      <c r="B154" s="177" t="s">
        <v>9</v>
      </c>
      <c r="C154" s="37">
        <v>2222</v>
      </c>
      <c r="D154" s="7"/>
      <c r="E154" s="12">
        <v>156.6</v>
      </c>
      <c r="F154" s="38" t="s">
        <v>102</v>
      </c>
    </row>
    <row r="155" spans="1:6">
      <c r="A155" s="175"/>
      <c r="B155" s="178"/>
      <c r="C155" s="37">
        <v>2224</v>
      </c>
      <c r="D155" s="7"/>
      <c r="E155" s="12">
        <v>37.799999999999997</v>
      </c>
      <c r="F155" s="38" t="s">
        <v>41</v>
      </c>
    </row>
    <row r="156" spans="1:6">
      <c r="A156" s="175"/>
      <c r="B156" s="178"/>
      <c r="C156" s="37">
        <v>2212</v>
      </c>
      <c r="D156" s="7"/>
      <c r="E156" s="12">
        <v>8.1</v>
      </c>
      <c r="F156" s="38" t="s">
        <v>87</v>
      </c>
    </row>
    <row r="157" spans="1:6">
      <c r="A157" s="175"/>
      <c r="B157" s="178"/>
      <c r="C157" s="37">
        <v>2231</v>
      </c>
      <c r="D157" s="7"/>
      <c r="E157" s="12">
        <v>398.7</v>
      </c>
      <c r="F157" s="38" t="s">
        <v>39</v>
      </c>
    </row>
    <row r="158" spans="1:6">
      <c r="A158" s="175"/>
      <c r="B158" s="178"/>
      <c r="C158" s="37">
        <v>2231</v>
      </c>
      <c r="D158" s="7"/>
      <c r="E158" s="12">
        <v>61.9</v>
      </c>
      <c r="F158" s="38" t="s">
        <v>40</v>
      </c>
    </row>
    <row r="159" spans="1:6">
      <c r="A159" s="175"/>
      <c r="B159" s="178"/>
      <c r="C159" s="37">
        <v>2231</v>
      </c>
      <c r="D159" s="7"/>
      <c r="E159" s="12">
        <v>77.599999999999994</v>
      </c>
      <c r="F159" s="38" t="s">
        <v>42</v>
      </c>
    </row>
    <row r="160" spans="1:6">
      <c r="A160" s="175"/>
      <c r="B160" s="178"/>
      <c r="C160" s="37">
        <v>2231</v>
      </c>
      <c r="D160" s="7"/>
      <c r="E160" s="12">
        <v>73.8</v>
      </c>
      <c r="F160" s="38" t="s">
        <v>43</v>
      </c>
    </row>
    <row r="161" spans="1:10">
      <c r="A161" s="175"/>
      <c r="B161" s="178"/>
      <c r="C161" s="37">
        <v>2231</v>
      </c>
      <c r="D161" s="7"/>
      <c r="E161" s="12">
        <v>295.7</v>
      </c>
      <c r="F161" s="38" t="s">
        <v>88</v>
      </c>
    </row>
    <row r="162" spans="1:10">
      <c r="A162" s="175"/>
      <c r="B162" s="178"/>
      <c r="C162" s="114">
        <v>3111</v>
      </c>
      <c r="D162" s="7"/>
      <c r="E162" s="12">
        <v>680</v>
      </c>
      <c r="F162" s="119" t="s">
        <v>213</v>
      </c>
    </row>
    <row r="163" spans="1:10" ht="25.5">
      <c r="A163" s="175"/>
      <c r="B163" s="178"/>
      <c r="C163" s="37">
        <v>3112</v>
      </c>
      <c r="D163" s="7"/>
      <c r="E163" s="12">
        <v>270</v>
      </c>
      <c r="F163" s="38" t="s">
        <v>103</v>
      </c>
    </row>
    <row r="164" spans="1:10">
      <c r="A164" s="175"/>
      <c r="B164" s="178"/>
      <c r="C164" s="37">
        <v>3112</v>
      </c>
      <c r="D164" s="7"/>
      <c r="E164" s="12">
        <v>24</v>
      </c>
      <c r="F164" s="38" t="s">
        <v>44</v>
      </c>
    </row>
    <row r="165" spans="1:10">
      <c r="A165" s="175"/>
      <c r="B165" s="178"/>
      <c r="C165" s="37">
        <v>3112</v>
      </c>
      <c r="D165" s="7"/>
      <c r="E165" s="12">
        <v>24</v>
      </c>
      <c r="F165" s="38" t="s">
        <v>45</v>
      </c>
    </row>
    <row r="166" spans="1:10">
      <c r="A166" s="176"/>
      <c r="B166" s="179"/>
      <c r="C166" s="37">
        <v>3112</v>
      </c>
      <c r="D166" s="7"/>
      <c r="E166" s="12">
        <v>12</v>
      </c>
      <c r="F166" s="38" t="s">
        <v>46</v>
      </c>
    </row>
    <row r="167" spans="1:10">
      <c r="A167" s="174">
        <v>18</v>
      </c>
      <c r="B167" s="178" t="s">
        <v>10</v>
      </c>
      <c r="C167" s="37">
        <v>2231</v>
      </c>
      <c r="D167" s="7"/>
      <c r="E167" s="12">
        <v>6.4</v>
      </c>
      <c r="F167" s="38" t="s">
        <v>39</v>
      </c>
    </row>
    <row r="168" spans="1:10">
      <c r="A168" s="176"/>
      <c r="B168" s="179"/>
      <c r="C168" s="37">
        <v>2231</v>
      </c>
      <c r="D168" s="7"/>
      <c r="E168" s="12">
        <v>55.4</v>
      </c>
      <c r="F168" s="38" t="s">
        <v>88</v>
      </c>
    </row>
    <row r="169" spans="1:10" ht="25.5">
      <c r="A169" s="174">
        <v>19</v>
      </c>
      <c r="B169" s="177" t="s">
        <v>66</v>
      </c>
      <c r="C169" s="3">
        <v>2215</v>
      </c>
      <c r="D169" s="7"/>
      <c r="E169" s="8">
        <v>0.7</v>
      </c>
      <c r="F169" s="38" t="s">
        <v>67</v>
      </c>
    </row>
    <row r="170" spans="1:10" ht="38.25">
      <c r="A170" s="175"/>
      <c r="B170" s="178"/>
      <c r="C170" s="3">
        <v>2215</v>
      </c>
      <c r="D170" s="7"/>
      <c r="E170" s="8">
        <v>6</v>
      </c>
      <c r="F170" s="119" t="s">
        <v>202</v>
      </c>
    </row>
    <row r="171" spans="1:10">
      <c r="A171" s="176"/>
      <c r="B171" s="179"/>
      <c r="C171" s="3">
        <v>2222</v>
      </c>
      <c r="D171" s="7"/>
      <c r="E171" s="8">
        <v>98.8</v>
      </c>
      <c r="F171" s="38" t="s">
        <v>73</v>
      </c>
    </row>
    <row r="172" spans="1:10" ht="25.5">
      <c r="A172" s="112">
        <v>20</v>
      </c>
      <c r="B172" s="33" t="s">
        <v>186</v>
      </c>
      <c r="C172" s="3"/>
      <c r="D172" s="7"/>
      <c r="E172" s="29">
        <v>861.9</v>
      </c>
      <c r="F172" s="38" t="s">
        <v>256</v>
      </c>
    </row>
    <row r="173" spans="1:10" ht="25.5">
      <c r="A173" s="32">
        <v>21</v>
      </c>
      <c r="B173" s="33" t="s">
        <v>175</v>
      </c>
      <c r="C173" s="3"/>
      <c r="D173" s="7">
        <f>50000+452</f>
        <v>50452</v>
      </c>
      <c r="E173" s="29"/>
      <c r="F173" s="38" t="s">
        <v>190</v>
      </c>
    </row>
    <row r="174" spans="1:10">
      <c r="A174" s="181" t="s">
        <v>90</v>
      </c>
      <c r="B174" s="181"/>
      <c r="C174" s="181"/>
      <c r="D174" s="26">
        <f>SUM(D10:D173)</f>
        <v>70484.3</v>
      </c>
      <c r="E174" s="26">
        <f>SUM(E10:E173)</f>
        <v>70484.327999999994</v>
      </c>
      <c r="F174" s="25"/>
    </row>
    <row r="175" spans="1:10">
      <c r="E175" s="30"/>
    </row>
    <row r="176" spans="1:10" s="39" customFormat="1" ht="15.75">
      <c r="B176" s="159" t="s">
        <v>254</v>
      </c>
      <c r="D176" s="159"/>
      <c r="E176" s="159"/>
      <c r="F176" s="159" t="s">
        <v>255</v>
      </c>
      <c r="G176" s="160"/>
      <c r="H176" s="160"/>
      <c r="I176" s="160"/>
      <c r="J176" s="160"/>
    </row>
  </sheetData>
  <mergeCells count="78">
    <mergeCell ref="A7:F7"/>
    <mergeCell ref="A10:A15"/>
    <mergeCell ref="B10:B15"/>
    <mergeCell ref="F10:F15"/>
    <mergeCell ref="A16:A17"/>
    <mergeCell ref="B16:B17"/>
    <mergeCell ref="F16:F17"/>
    <mergeCell ref="F28:F30"/>
    <mergeCell ref="A32:A37"/>
    <mergeCell ref="B32:B37"/>
    <mergeCell ref="F32:F36"/>
    <mergeCell ref="A19:A20"/>
    <mergeCell ref="B19:B20"/>
    <mergeCell ref="F19:F20"/>
    <mergeCell ref="A21:A27"/>
    <mergeCell ref="B21:B27"/>
    <mergeCell ref="F23:F27"/>
    <mergeCell ref="A28:A31"/>
    <mergeCell ref="B28:B31"/>
    <mergeCell ref="F38:F42"/>
    <mergeCell ref="A44:A50"/>
    <mergeCell ref="B44:B50"/>
    <mergeCell ref="F44:F45"/>
    <mergeCell ref="F47:F50"/>
    <mergeCell ref="B38:B42"/>
    <mergeCell ref="A38:A42"/>
    <mergeCell ref="F63:F68"/>
    <mergeCell ref="A69:A71"/>
    <mergeCell ref="B69:B71"/>
    <mergeCell ref="F69:F71"/>
    <mergeCell ref="A52:A55"/>
    <mergeCell ref="B52:B55"/>
    <mergeCell ref="F52:F55"/>
    <mergeCell ref="A58:A62"/>
    <mergeCell ref="B58:B62"/>
    <mergeCell ref="F58:F62"/>
    <mergeCell ref="A63:A68"/>
    <mergeCell ref="B63:B68"/>
    <mergeCell ref="F73:F74"/>
    <mergeCell ref="A84:A85"/>
    <mergeCell ref="B84:B85"/>
    <mergeCell ref="A86:A88"/>
    <mergeCell ref="B86:B88"/>
    <mergeCell ref="F86:F87"/>
    <mergeCell ref="A73:A83"/>
    <mergeCell ref="B73:B83"/>
    <mergeCell ref="F148:F149"/>
    <mergeCell ref="A108:A117"/>
    <mergeCell ref="B108:B117"/>
    <mergeCell ref="F118:F119"/>
    <mergeCell ref="A124:A136"/>
    <mergeCell ref="B124:B136"/>
    <mergeCell ref="A137:A139"/>
    <mergeCell ref="B137:B139"/>
    <mergeCell ref="F140:F141"/>
    <mergeCell ref="A146:A147"/>
    <mergeCell ref="B146:B147"/>
    <mergeCell ref="B140:B144"/>
    <mergeCell ref="B118:B123"/>
    <mergeCell ref="A118:A123"/>
    <mergeCell ref="A174:C174"/>
    <mergeCell ref="A151:A153"/>
    <mergeCell ref="B151:B153"/>
    <mergeCell ref="A154:A166"/>
    <mergeCell ref="B154:B166"/>
    <mergeCell ref="A167:A168"/>
    <mergeCell ref="B167:B168"/>
    <mergeCell ref="A89:A91"/>
    <mergeCell ref="B89:B91"/>
    <mergeCell ref="A169:A171"/>
    <mergeCell ref="B169:B171"/>
    <mergeCell ref="A148:A149"/>
    <mergeCell ref="B148:B149"/>
    <mergeCell ref="A140:A144"/>
    <mergeCell ref="B92:B102"/>
    <mergeCell ref="A92:A102"/>
    <mergeCell ref="A103:A107"/>
    <mergeCell ref="B103:B107"/>
  </mergeCells>
  <pageMargins left="0.59055118110236227" right="0.19685039370078741" top="0.39370078740157483" bottom="0.39370078740157483" header="0.31496062992125984" footer="0.31496062992125984"/>
  <pageSetup paperSize="9" scale="85" fitToHeight="0" orientation="portrait" r:id="rId1"/>
  <rowBreaks count="3" manualBreakCount="3">
    <brk id="57" max="16383" man="1"/>
    <brk id="107" max="16383" man="1"/>
    <brk id="1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70" zoomScaleNormal="100" zoomScaleSheetLayoutView="70" workbookViewId="0">
      <selection activeCell="F1" sqref="F1:F4"/>
    </sheetView>
  </sheetViews>
  <sheetFormatPr defaultRowHeight="15"/>
  <cols>
    <col min="1" max="1" width="3" bestFit="1" customWidth="1"/>
    <col min="2" max="2" width="31.28515625" customWidth="1"/>
    <col min="3" max="3" width="9" bestFit="1" customWidth="1"/>
    <col min="4" max="4" width="11.5703125" customWidth="1"/>
    <col min="5" max="5" width="10.140625" customWidth="1"/>
    <col min="6" max="6" width="51.28515625" customWidth="1"/>
    <col min="10" max="10" width="11.140625" customWidth="1"/>
  </cols>
  <sheetData>
    <row r="1" spans="1:6" ht="15.75">
      <c r="F1" s="132" t="s">
        <v>222</v>
      </c>
    </row>
    <row r="2" spans="1:6" ht="15.75">
      <c r="F2" s="133" t="s">
        <v>248</v>
      </c>
    </row>
    <row r="3" spans="1:6" ht="15.75">
      <c r="F3" s="132" t="s">
        <v>262</v>
      </c>
    </row>
    <row r="4" spans="1:6" ht="15.75">
      <c r="F4" s="132" t="s">
        <v>263</v>
      </c>
    </row>
    <row r="5" spans="1:6" ht="15.75">
      <c r="F5" s="134" t="s">
        <v>251</v>
      </c>
    </row>
    <row r="6" spans="1:6" ht="15.75">
      <c r="F6" s="134"/>
    </row>
    <row r="7" spans="1:6" ht="41.45" customHeight="1">
      <c r="A7" s="196" t="s">
        <v>60</v>
      </c>
      <c r="B7" s="197"/>
      <c r="C7" s="197"/>
      <c r="D7" s="197"/>
      <c r="E7" s="197"/>
      <c r="F7" s="197"/>
    </row>
    <row r="8" spans="1:6" ht="51">
      <c r="A8" s="1" t="s">
        <v>0</v>
      </c>
      <c r="B8" s="1" t="s">
        <v>1</v>
      </c>
      <c r="C8" s="1" t="s">
        <v>14</v>
      </c>
      <c r="D8" s="4" t="s">
        <v>185</v>
      </c>
      <c r="E8" s="10" t="s">
        <v>219</v>
      </c>
      <c r="F8" s="1" t="s">
        <v>16</v>
      </c>
    </row>
    <row r="9" spans="1:6">
      <c r="A9" s="2">
        <v>1</v>
      </c>
      <c r="B9" s="2">
        <v>2</v>
      </c>
      <c r="C9" s="2">
        <v>3</v>
      </c>
      <c r="D9" s="2">
        <v>4</v>
      </c>
      <c r="E9" s="11">
        <v>5</v>
      </c>
      <c r="F9" s="2">
        <v>6</v>
      </c>
    </row>
    <row r="10" spans="1:6" ht="25.5">
      <c r="A10" s="174">
        <v>1</v>
      </c>
      <c r="B10" s="193" t="s">
        <v>61</v>
      </c>
      <c r="C10" s="23">
        <v>2111</v>
      </c>
      <c r="D10" s="24">
        <v>800</v>
      </c>
      <c r="E10" s="24"/>
      <c r="F10" s="115" t="s">
        <v>188</v>
      </c>
    </row>
    <row r="11" spans="1:6" ht="25.5">
      <c r="A11" s="175"/>
      <c r="B11" s="194"/>
      <c r="C11" s="23">
        <v>2121</v>
      </c>
      <c r="D11" s="24">
        <v>150</v>
      </c>
      <c r="E11" s="24"/>
      <c r="F11" s="115" t="s">
        <v>189</v>
      </c>
    </row>
    <row r="12" spans="1:6">
      <c r="A12" s="175"/>
      <c r="B12" s="194"/>
      <c r="C12" s="105">
        <v>2211</v>
      </c>
      <c r="D12" s="24">
        <v>20</v>
      </c>
      <c r="E12" s="24"/>
      <c r="F12" s="115" t="s">
        <v>184</v>
      </c>
    </row>
    <row r="13" spans="1:6">
      <c r="A13" s="175"/>
      <c r="B13" s="194"/>
      <c r="C13" s="23">
        <v>2215</v>
      </c>
      <c r="D13" s="24">
        <v>388</v>
      </c>
      <c r="E13" s="24"/>
      <c r="F13" s="119" t="s">
        <v>74</v>
      </c>
    </row>
    <row r="14" spans="1:6" ht="25.5">
      <c r="A14" s="175"/>
      <c r="B14" s="194"/>
      <c r="C14" s="14">
        <v>2222</v>
      </c>
      <c r="D14" s="19">
        <v>132.6</v>
      </c>
      <c r="E14" s="19"/>
      <c r="F14" s="119" t="s">
        <v>65</v>
      </c>
    </row>
    <row r="15" spans="1:6">
      <c r="A15" s="175"/>
      <c r="B15" s="194"/>
      <c r="C15" s="14">
        <v>2231</v>
      </c>
      <c r="D15" s="19">
        <v>10</v>
      </c>
      <c r="E15" s="19"/>
      <c r="F15" s="119" t="s">
        <v>64</v>
      </c>
    </row>
    <row r="16" spans="1:6">
      <c r="A16" s="175"/>
      <c r="B16" s="194"/>
      <c r="C16" s="22">
        <v>2822</v>
      </c>
      <c r="D16" s="19">
        <v>4428.3999999999996</v>
      </c>
      <c r="E16" s="19"/>
      <c r="F16" s="119" t="s">
        <v>96</v>
      </c>
    </row>
    <row r="17" spans="1:6">
      <c r="A17" s="175"/>
      <c r="B17" s="194"/>
      <c r="C17" s="22">
        <v>3112</v>
      </c>
      <c r="D17" s="19">
        <v>1223.7</v>
      </c>
      <c r="E17" s="19"/>
      <c r="F17" s="119" t="s">
        <v>97</v>
      </c>
    </row>
    <row r="18" spans="1:6">
      <c r="A18" s="175"/>
      <c r="B18" s="194"/>
      <c r="C18" s="22">
        <v>14238900</v>
      </c>
      <c r="D18" s="19"/>
      <c r="E18" s="19">
        <f>6662.7+480.8</f>
        <v>7143.5</v>
      </c>
      <c r="F18" s="119" t="s">
        <v>178</v>
      </c>
    </row>
    <row r="19" spans="1:6">
      <c r="A19" s="175"/>
      <c r="B19" s="194"/>
      <c r="C19" s="14">
        <v>2215</v>
      </c>
      <c r="D19" s="19"/>
      <c r="E19" s="19">
        <v>9.1999999999999993</v>
      </c>
      <c r="F19" s="119" t="s">
        <v>63</v>
      </c>
    </row>
    <row r="20" spans="1:6">
      <c r="A20" s="174">
        <v>2</v>
      </c>
      <c r="B20" s="193" t="s">
        <v>4</v>
      </c>
      <c r="C20" s="108">
        <v>14238900</v>
      </c>
      <c r="D20" s="19">
        <v>4040</v>
      </c>
      <c r="E20" s="19"/>
      <c r="F20" s="21" t="s">
        <v>187</v>
      </c>
    </row>
    <row r="21" spans="1:6">
      <c r="A21" s="175"/>
      <c r="B21" s="194"/>
      <c r="C21" s="31">
        <v>2214</v>
      </c>
      <c r="D21" s="19"/>
      <c r="E21" s="19">
        <f>124+135</f>
        <v>259</v>
      </c>
      <c r="F21" s="21" t="s">
        <v>180</v>
      </c>
    </row>
    <row r="22" spans="1:6">
      <c r="A22" s="175"/>
      <c r="B22" s="194"/>
      <c r="C22" s="31">
        <v>2214</v>
      </c>
      <c r="D22" s="19"/>
      <c r="E22" s="19">
        <v>1800</v>
      </c>
      <c r="F22" s="119" t="s">
        <v>181</v>
      </c>
    </row>
    <row r="23" spans="1:6">
      <c r="A23" s="175"/>
      <c r="B23" s="194"/>
      <c r="C23" s="31">
        <v>2224</v>
      </c>
      <c r="D23" s="19"/>
      <c r="E23" s="19">
        <v>221</v>
      </c>
      <c r="F23" s="21" t="s">
        <v>179</v>
      </c>
    </row>
    <row r="24" spans="1:6">
      <c r="A24" s="176"/>
      <c r="B24" s="195"/>
      <c r="C24" s="31">
        <v>3122</v>
      </c>
      <c r="D24" s="19"/>
      <c r="E24" s="19">
        <f>2695-1800+865</f>
        <v>1760</v>
      </c>
      <c r="F24" s="119" t="s">
        <v>36</v>
      </c>
    </row>
    <row r="25" spans="1:6" ht="25.5">
      <c r="A25" s="174">
        <v>3</v>
      </c>
      <c r="B25" s="198" t="s">
        <v>75</v>
      </c>
      <c r="C25" s="20">
        <v>2111</v>
      </c>
      <c r="D25" s="24">
        <v>3814.2</v>
      </c>
      <c r="E25" s="24"/>
      <c r="F25" s="115" t="s">
        <v>188</v>
      </c>
    </row>
    <row r="26" spans="1:6" ht="25.5">
      <c r="A26" s="175"/>
      <c r="B26" s="198"/>
      <c r="C26" s="23">
        <v>2121</v>
      </c>
      <c r="D26" s="24">
        <v>795.1</v>
      </c>
      <c r="E26" s="24"/>
      <c r="F26" s="115" t="s">
        <v>189</v>
      </c>
    </row>
    <row r="27" spans="1:6">
      <c r="A27" s="175"/>
      <c r="B27" s="198"/>
      <c r="C27" s="106">
        <v>14238900</v>
      </c>
      <c r="D27" s="24"/>
      <c r="E27" s="24">
        <v>4609.3</v>
      </c>
      <c r="F27" s="119" t="s">
        <v>178</v>
      </c>
    </row>
    <row r="28" spans="1:6">
      <c r="A28" s="175"/>
      <c r="B28" s="198"/>
      <c r="C28" s="20">
        <v>2214</v>
      </c>
      <c r="D28" s="24">
        <v>200.5</v>
      </c>
      <c r="E28" s="24"/>
      <c r="F28" s="177" t="s">
        <v>17</v>
      </c>
    </row>
    <row r="29" spans="1:6">
      <c r="A29" s="175"/>
      <c r="B29" s="198"/>
      <c r="C29" s="23">
        <v>2222</v>
      </c>
      <c r="D29" s="24">
        <v>263</v>
      </c>
      <c r="E29" s="24"/>
      <c r="F29" s="179"/>
    </row>
    <row r="30" spans="1:6">
      <c r="A30" s="175"/>
      <c r="B30" s="198"/>
      <c r="C30" s="23">
        <v>2214</v>
      </c>
      <c r="D30" s="24"/>
      <c r="E30" s="24">
        <v>203.5</v>
      </c>
      <c r="F30" s="113" t="s">
        <v>34</v>
      </c>
    </row>
    <row r="31" spans="1:6">
      <c r="A31" s="175"/>
      <c r="B31" s="198"/>
      <c r="C31" s="20">
        <v>2215</v>
      </c>
      <c r="D31" s="24"/>
      <c r="E31" s="24">
        <v>35</v>
      </c>
      <c r="F31" s="115" t="s">
        <v>77</v>
      </c>
    </row>
    <row r="32" spans="1:6">
      <c r="A32" s="175"/>
      <c r="B32" s="198"/>
      <c r="C32" s="23">
        <v>2222</v>
      </c>
      <c r="D32" s="24"/>
      <c r="E32" s="24">
        <v>200</v>
      </c>
      <c r="F32" s="115" t="s">
        <v>101</v>
      </c>
    </row>
    <row r="33" spans="1:10">
      <c r="A33" s="176"/>
      <c r="B33" s="198"/>
      <c r="C33" s="20">
        <v>3112</v>
      </c>
      <c r="D33" s="24"/>
      <c r="E33" s="24">
        <v>25</v>
      </c>
      <c r="F33" s="115" t="s">
        <v>93</v>
      </c>
    </row>
    <row r="34" spans="1:10">
      <c r="A34" s="175">
        <v>4</v>
      </c>
      <c r="B34" s="192" t="s">
        <v>6</v>
      </c>
      <c r="C34" s="14">
        <v>2214</v>
      </c>
      <c r="D34" s="19">
        <v>20</v>
      </c>
      <c r="E34" s="19"/>
      <c r="F34" s="177" t="s">
        <v>94</v>
      </c>
    </row>
    <row r="35" spans="1:10">
      <c r="A35" s="175"/>
      <c r="B35" s="192"/>
      <c r="C35" s="13">
        <v>2222</v>
      </c>
      <c r="D35" s="7">
        <v>50</v>
      </c>
      <c r="E35" s="24"/>
      <c r="F35" s="178"/>
    </row>
    <row r="36" spans="1:10">
      <c r="A36" s="175"/>
      <c r="B36" s="192"/>
      <c r="C36" s="13">
        <v>3112</v>
      </c>
      <c r="D36" s="24"/>
      <c r="E36" s="24">
        <v>70</v>
      </c>
      <c r="F36" s="179"/>
    </row>
    <row r="37" spans="1:10">
      <c r="A37" s="174">
        <v>5</v>
      </c>
      <c r="B37" s="189" t="s">
        <v>62</v>
      </c>
      <c r="C37" s="112">
        <v>14238900</v>
      </c>
      <c r="D37" s="122">
        <v>120</v>
      </c>
      <c r="E37" s="24"/>
      <c r="F37" s="111" t="s">
        <v>196</v>
      </c>
    </row>
    <row r="38" spans="1:10" ht="19.899999999999999" customHeight="1">
      <c r="A38" s="175"/>
      <c r="B38" s="190"/>
      <c r="C38" s="27">
        <v>3111</v>
      </c>
      <c r="D38" s="9">
        <v>29.1</v>
      </c>
      <c r="E38" s="24"/>
      <c r="F38" s="180" t="s">
        <v>92</v>
      </c>
    </row>
    <row r="39" spans="1:10" ht="20.45" customHeight="1">
      <c r="A39" s="175"/>
      <c r="B39" s="190"/>
      <c r="C39" s="20">
        <v>2222</v>
      </c>
      <c r="D39" s="24"/>
      <c r="E39" s="24">
        <v>29.1</v>
      </c>
      <c r="F39" s="180"/>
    </row>
    <row r="40" spans="1:10" ht="20.45" customHeight="1">
      <c r="A40" s="176"/>
      <c r="B40" s="191"/>
      <c r="C40" s="114">
        <v>3111</v>
      </c>
      <c r="D40" s="24"/>
      <c r="E40" s="24">
        <v>120</v>
      </c>
      <c r="F40" s="123" t="s">
        <v>199</v>
      </c>
    </row>
    <row r="41" spans="1:10">
      <c r="A41" s="174">
        <v>6</v>
      </c>
      <c r="B41" s="183" t="s">
        <v>69</v>
      </c>
      <c r="C41" s="3">
        <v>14411100</v>
      </c>
      <c r="D41" s="7">
        <v>400</v>
      </c>
      <c r="E41" s="8"/>
      <c r="F41" s="124" t="s">
        <v>177</v>
      </c>
    </row>
    <row r="42" spans="1:10" ht="25.5">
      <c r="A42" s="176"/>
      <c r="B42" s="185"/>
      <c r="C42" s="114">
        <v>2215</v>
      </c>
      <c r="D42" s="24"/>
      <c r="E42" s="29">
        <v>400</v>
      </c>
      <c r="F42" s="119" t="s">
        <v>206</v>
      </c>
    </row>
    <row r="43" spans="1:10">
      <c r="A43" s="181" t="s">
        <v>90</v>
      </c>
      <c r="B43" s="181"/>
      <c r="C43" s="181"/>
      <c r="D43" s="26">
        <f>SUM(D10:D42)</f>
        <v>16884.599999999999</v>
      </c>
      <c r="E43" s="26">
        <f>SUM(E10:E42)</f>
        <v>16884.599999999999</v>
      </c>
      <c r="F43" s="25"/>
    </row>
    <row r="44" spans="1:10">
      <c r="B44" s="30"/>
    </row>
    <row r="45" spans="1:10" ht="7.9" customHeight="1"/>
    <row r="46" spans="1:10" s="39" customFormat="1" ht="15.75">
      <c r="B46" s="159" t="s">
        <v>254</v>
      </c>
      <c r="D46" s="159"/>
      <c r="E46" s="159"/>
      <c r="F46" s="159" t="s">
        <v>255</v>
      </c>
      <c r="G46" s="160"/>
      <c r="H46" s="160"/>
      <c r="I46" s="160"/>
      <c r="J46" s="160"/>
    </row>
  </sheetData>
  <mergeCells count="17">
    <mergeCell ref="A20:A24"/>
    <mergeCell ref="B20:B24"/>
    <mergeCell ref="A41:A42"/>
    <mergeCell ref="A7:F7"/>
    <mergeCell ref="F28:F29"/>
    <mergeCell ref="B10:B19"/>
    <mergeCell ref="A10:A19"/>
    <mergeCell ref="B25:B33"/>
    <mergeCell ref="A25:A33"/>
    <mergeCell ref="A43:C43"/>
    <mergeCell ref="B41:B42"/>
    <mergeCell ref="F38:F39"/>
    <mergeCell ref="F34:F36"/>
    <mergeCell ref="A37:A40"/>
    <mergeCell ref="B37:B40"/>
    <mergeCell ref="A34:A36"/>
    <mergeCell ref="B34:B36"/>
  </mergeCells>
  <pageMargins left="0.39370078740157483" right="0.39370078740157483" top="0.39370078740157483" bottom="0.39370078740157483" header="0.31496062992125984" footer="0.31496062992125984"/>
  <pageSetup paperSize="9" scale="8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19"/>
  <sheetViews>
    <sheetView view="pageBreakPreview" zoomScale="60" zoomScaleNormal="70" workbookViewId="0">
      <selection activeCell="AA1" sqref="AA1:AA4"/>
    </sheetView>
  </sheetViews>
  <sheetFormatPr defaultColWidth="9.140625" defaultRowHeight="15.75"/>
  <cols>
    <col min="1" max="1" width="3.5703125" style="131" bestFit="1" customWidth="1"/>
    <col min="2" max="2" width="29.7109375" style="131" customWidth="1"/>
    <col min="3" max="3" width="5.28515625" style="131" customWidth="1"/>
    <col min="4" max="4" width="7.7109375" style="131" customWidth="1"/>
    <col min="5" max="5" width="8.7109375" style="131" customWidth="1"/>
    <col min="6" max="6" width="9.28515625" style="131" customWidth="1"/>
    <col min="7" max="7" width="6.7109375" style="131" customWidth="1"/>
    <col min="8" max="8" width="9.5703125" style="131" customWidth="1"/>
    <col min="9" max="9" width="10.42578125" style="131" customWidth="1"/>
    <col min="10" max="11" width="9.42578125" style="131" customWidth="1"/>
    <col min="12" max="12" width="6.42578125" style="131" customWidth="1"/>
    <col min="13" max="13" width="9.85546875" style="131" customWidth="1"/>
    <col min="14" max="14" width="6.5703125" style="131" customWidth="1"/>
    <col min="15" max="15" width="10.85546875" style="131" customWidth="1"/>
    <col min="16" max="16" width="5.7109375" style="131" customWidth="1"/>
    <col min="17" max="17" width="9.140625" style="131"/>
    <col min="18" max="18" width="11.85546875" style="131" customWidth="1"/>
    <col min="19" max="19" width="10.5703125" style="131" customWidth="1"/>
    <col min="20" max="20" width="10.140625" style="131" customWidth="1"/>
    <col min="21" max="21" width="14.28515625" style="131" customWidth="1"/>
    <col min="22" max="22" width="8.5703125" style="131" customWidth="1"/>
    <col min="23" max="23" width="10.28515625" style="131" customWidth="1"/>
    <col min="24" max="24" width="10" style="131" customWidth="1"/>
    <col min="25" max="25" width="11.28515625" style="131" customWidth="1"/>
    <col min="26" max="26" width="10" style="131" customWidth="1"/>
    <col min="27" max="27" width="11" style="131" customWidth="1"/>
    <col min="28" max="16384" width="9.140625" style="131"/>
  </cols>
  <sheetData>
    <row r="1" spans="1:28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AA1" s="132" t="s">
        <v>222</v>
      </c>
    </row>
    <row r="2" spans="1:28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AA2" s="133" t="s">
        <v>248</v>
      </c>
    </row>
    <row r="3" spans="1:28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AA3" s="132" t="s">
        <v>262</v>
      </c>
    </row>
    <row r="4" spans="1:28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AA4" s="132" t="s">
        <v>263</v>
      </c>
    </row>
    <row r="5" spans="1:28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AA5" s="134" t="s">
        <v>258</v>
      </c>
    </row>
    <row r="6" spans="1:28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2"/>
    </row>
    <row r="7" spans="1:28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2"/>
    </row>
    <row r="8" spans="1:28">
      <c r="A8" s="203" t="s">
        <v>249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</row>
    <row r="9" spans="1:28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</row>
    <row r="10" spans="1:28" ht="12.75" customHeight="1">
      <c r="A10" s="199" t="s">
        <v>0</v>
      </c>
      <c r="B10" s="199" t="s">
        <v>223</v>
      </c>
      <c r="C10" s="199" t="s">
        <v>224</v>
      </c>
      <c r="D10" s="199" t="s">
        <v>225</v>
      </c>
      <c r="E10" s="199" t="s">
        <v>226</v>
      </c>
      <c r="F10" s="205" t="s">
        <v>227</v>
      </c>
      <c r="G10" s="208" t="s">
        <v>228</v>
      </c>
      <c r="H10" s="209"/>
      <c r="I10" s="209"/>
      <c r="J10" s="209"/>
      <c r="K10" s="209"/>
      <c r="L10" s="209"/>
      <c r="M10" s="209"/>
      <c r="N10" s="209"/>
      <c r="O10" s="209"/>
      <c r="P10" s="209"/>
      <c r="Q10" s="210"/>
      <c r="R10" s="199" t="s">
        <v>229</v>
      </c>
      <c r="S10" s="199" t="s">
        <v>230</v>
      </c>
      <c r="T10" s="199" t="s">
        <v>231</v>
      </c>
      <c r="U10" s="199" t="s">
        <v>232</v>
      </c>
      <c r="V10" s="199" t="s">
        <v>233</v>
      </c>
      <c r="W10" s="199" t="s">
        <v>234</v>
      </c>
      <c r="X10" s="199" t="s">
        <v>235</v>
      </c>
      <c r="Y10" s="199" t="s">
        <v>236</v>
      </c>
      <c r="Z10" s="199" t="s">
        <v>237</v>
      </c>
      <c r="AA10" s="199" t="s">
        <v>238</v>
      </c>
    </row>
    <row r="11" spans="1:28" ht="135.6" customHeight="1">
      <c r="A11" s="204"/>
      <c r="B11" s="204"/>
      <c r="C11" s="204"/>
      <c r="D11" s="204"/>
      <c r="E11" s="204"/>
      <c r="F11" s="206"/>
      <c r="G11" s="211" t="s">
        <v>239</v>
      </c>
      <c r="H11" s="212"/>
      <c r="I11" s="135" t="s">
        <v>240</v>
      </c>
      <c r="J11" s="211" t="s">
        <v>241</v>
      </c>
      <c r="K11" s="212"/>
      <c r="L11" s="211" t="s">
        <v>242</v>
      </c>
      <c r="M11" s="212"/>
      <c r="N11" s="211" t="s">
        <v>243</v>
      </c>
      <c r="O11" s="212"/>
      <c r="P11" s="201" t="s">
        <v>244</v>
      </c>
      <c r="Q11" s="202"/>
      <c r="R11" s="200"/>
      <c r="S11" s="200"/>
      <c r="T11" s="200"/>
      <c r="U11" s="200"/>
      <c r="V11" s="200"/>
      <c r="W11" s="200"/>
      <c r="X11" s="200"/>
      <c r="Y11" s="200"/>
      <c r="Z11" s="200"/>
      <c r="AA11" s="200"/>
    </row>
    <row r="12" spans="1:28">
      <c r="A12" s="200"/>
      <c r="B12" s="200"/>
      <c r="C12" s="200"/>
      <c r="D12" s="200"/>
      <c r="E12" s="200"/>
      <c r="F12" s="207"/>
      <c r="G12" s="136" t="s">
        <v>245</v>
      </c>
      <c r="H12" s="136" t="s">
        <v>246</v>
      </c>
      <c r="I12" s="136" t="s">
        <v>246</v>
      </c>
      <c r="J12" s="136" t="s">
        <v>245</v>
      </c>
      <c r="K12" s="136" t="s">
        <v>246</v>
      </c>
      <c r="L12" s="136" t="s">
        <v>245</v>
      </c>
      <c r="M12" s="136" t="s">
        <v>246</v>
      </c>
      <c r="N12" s="136" t="s">
        <v>245</v>
      </c>
      <c r="O12" s="136" t="s">
        <v>246</v>
      </c>
      <c r="P12" s="136" t="s">
        <v>245</v>
      </c>
      <c r="Q12" s="136" t="s">
        <v>246</v>
      </c>
      <c r="R12" s="136" t="s">
        <v>246</v>
      </c>
      <c r="S12" s="136" t="s">
        <v>246</v>
      </c>
      <c r="T12" s="136" t="s">
        <v>246</v>
      </c>
      <c r="U12" s="136" t="s">
        <v>246</v>
      </c>
      <c r="V12" s="136" t="s">
        <v>246</v>
      </c>
      <c r="W12" s="136" t="s">
        <v>246</v>
      </c>
      <c r="X12" s="136" t="s">
        <v>246</v>
      </c>
      <c r="Y12" s="136" t="s">
        <v>246</v>
      </c>
      <c r="Z12" s="136" t="s">
        <v>246</v>
      </c>
      <c r="AA12" s="136" t="s">
        <v>246</v>
      </c>
    </row>
    <row r="13" spans="1:28">
      <c r="A13" s="136">
        <v>1</v>
      </c>
      <c r="B13" s="136">
        <v>2</v>
      </c>
      <c r="C13" s="136">
        <v>3</v>
      </c>
      <c r="D13" s="136">
        <v>4</v>
      </c>
      <c r="E13" s="136">
        <v>5</v>
      </c>
      <c r="F13" s="136">
        <v>6</v>
      </c>
      <c r="G13" s="136">
        <v>7</v>
      </c>
      <c r="H13" s="136">
        <v>8</v>
      </c>
      <c r="I13" s="136">
        <v>9</v>
      </c>
      <c r="J13" s="136">
        <v>10</v>
      </c>
      <c r="K13" s="136">
        <v>11</v>
      </c>
      <c r="L13" s="136">
        <v>12</v>
      </c>
      <c r="M13" s="136">
        <v>13</v>
      </c>
      <c r="N13" s="136">
        <v>14</v>
      </c>
      <c r="O13" s="136">
        <v>15</v>
      </c>
      <c r="P13" s="136">
        <v>16</v>
      </c>
      <c r="Q13" s="136">
        <v>17</v>
      </c>
      <c r="R13" s="136">
        <v>18</v>
      </c>
      <c r="S13" s="136">
        <v>19</v>
      </c>
      <c r="T13" s="136">
        <v>20</v>
      </c>
      <c r="U13" s="136">
        <v>21</v>
      </c>
      <c r="V13" s="136">
        <v>22</v>
      </c>
      <c r="W13" s="136">
        <v>23</v>
      </c>
      <c r="X13" s="136">
        <v>24</v>
      </c>
      <c r="Y13" s="136">
        <v>25</v>
      </c>
      <c r="Z13" s="136">
        <v>26</v>
      </c>
      <c r="AA13" s="136">
        <v>27</v>
      </c>
    </row>
    <row r="14" spans="1:28" ht="31.5">
      <c r="A14" s="150">
        <v>1</v>
      </c>
      <c r="B14" s="151" t="s">
        <v>250</v>
      </c>
      <c r="C14" s="150">
        <v>6</v>
      </c>
      <c r="D14" s="152">
        <v>7040</v>
      </c>
      <c r="E14" s="153">
        <v>1</v>
      </c>
      <c r="F14" s="139">
        <f>D14*E14</f>
        <v>7040</v>
      </c>
      <c r="G14" s="150"/>
      <c r="H14" s="154"/>
      <c r="I14" s="150"/>
      <c r="J14" s="150"/>
      <c r="K14" s="150"/>
      <c r="L14" s="137"/>
      <c r="M14" s="138">
        <f t="shared" ref="M14" si="0">F14*L14</f>
        <v>0</v>
      </c>
      <c r="N14" s="137"/>
      <c r="O14" s="137"/>
      <c r="P14" s="148">
        <v>0.5</v>
      </c>
      <c r="Q14" s="137">
        <f>F14*P14</f>
        <v>3520</v>
      </c>
      <c r="R14" s="155">
        <f t="shared" ref="R14" si="1">F14+H14+I14+K14+Q14+M14+O14</f>
        <v>10560</v>
      </c>
      <c r="S14" s="155">
        <f>R14*C14</f>
        <v>63360</v>
      </c>
      <c r="T14" s="155"/>
      <c r="U14" s="155">
        <f>T14*2</f>
        <v>0</v>
      </c>
      <c r="V14" s="155"/>
      <c r="W14" s="155"/>
      <c r="X14" s="155"/>
      <c r="Y14" s="155">
        <f>(S14*3)+T14+U14+W14</f>
        <v>190080</v>
      </c>
      <c r="Z14" s="155">
        <f>((S14*3)+T14+W14)*0.1725</f>
        <v>32788.799999999996</v>
      </c>
      <c r="AA14" s="155">
        <f t="shared" ref="AA14" si="2">Y14+Z14</f>
        <v>222868.8</v>
      </c>
    </row>
    <row r="15" spans="1:28" ht="31.5">
      <c r="A15" s="136"/>
      <c r="B15" s="136" t="s">
        <v>247</v>
      </c>
      <c r="C15" s="136">
        <f>SUM(C14:C14)</f>
        <v>6</v>
      </c>
      <c r="D15" s="141">
        <f>SUM(D14:D14)</f>
        <v>7040</v>
      </c>
      <c r="E15" s="141"/>
      <c r="F15" s="141">
        <f>SUM(F14:F14)</f>
        <v>7040</v>
      </c>
      <c r="G15" s="141"/>
      <c r="H15" s="141">
        <f>SUM(H14:H14)</f>
        <v>0</v>
      </c>
      <c r="I15" s="141">
        <f>SUM(I14:I14)</f>
        <v>0</v>
      </c>
      <c r="J15" s="141">
        <f>SUM(J14:J14)</f>
        <v>0</v>
      </c>
      <c r="K15" s="141">
        <f>SUM(K14:K14)</f>
        <v>0</v>
      </c>
      <c r="L15" s="141"/>
      <c r="M15" s="141">
        <f t="shared" ref="M15:AA15" si="3">SUM(M14:M14)</f>
        <v>0</v>
      </c>
      <c r="N15" s="141">
        <f t="shared" si="3"/>
        <v>0</v>
      </c>
      <c r="O15" s="141">
        <f t="shared" si="3"/>
        <v>0</v>
      </c>
      <c r="P15" s="141">
        <f t="shared" si="3"/>
        <v>0.5</v>
      </c>
      <c r="Q15" s="149">
        <f t="shared" si="3"/>
        <v>3520</v>
      </c>
      <c r="R15" s="141">
        <f t="shared" si="3"/>
        <v>10560</v>
      </c>
      <c r="S15" s="141">
        <f t="shared" si="3"/>
        <v>63360</v>
      </c>
      <c r="T15" s="141">
        <f t="shared" si="3"/>
        <v>0</v>
      </c>
      <c r="U15" s="141">
        <f t="shared" si="3"/>
        <v>0</v>
      </c>
      <c r="V15" s="141">
        <f t="shared" si="3"/>
        <v>0</v>
      </c>
      <c r="W15" s="141">
        <f t="shared" si="3"/>
        <v>0</v>
      </c>
      <c r="X15" s="141">
        <f t="shared" si="3"/>
        <v>0</v>
      </c>
      <c r="Y15" s="141">
        <f t="shared" si="3"/>
        <v>190080</v>
      </c>
      <c r="Z15" s="141">
        <f t="shared" si="3"/>
        <v>32788.799999999996</v>
      </c>
      <c r="AA15" s="141">
        <f t="shared" si="3"/>
        <v>222868.8</v>
      </c>
      <c r="AB15" s="140"/>
    </row>
    <row r="16" spans="1:28">
      <c r="A16" s="142"/>
      <c r="B16" s="142"/>
      <c r="C16" s="142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4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0"/>
    </row>
    <row r="17" spans="2:29">
      <c r="B17" s="146" t="s">
        <v>257</v>
      </c>
      <c r="Y17" s="145"/>
      <c r="Z17" s="147"/>
      <c r="AA17" s="145"/>
      <c r="AC17" s="140"/>
    </row>
    <row r="18" spans="2:29">
      <c r="Y18" s="145"/>
      <c r="Z18" s="140"/>
      <c r="AA18" s="140"/>
    </row>
    <row r="19" spans="2:29">
      <c r="X19" s="140"/>
    </row>
  </sheetData>
  <mergeCells count="23">
    <mergeCell ref="A8:AA8"/>
    <mergeCell ref="A10:A12"/>
    <mergeCell ref="B10:B12"/>
    <mergeCell ref="C10:C12"/>
    <mergeCell ref="D10:D12"/>
    <mergeCell ref="E10:E12"/>
    <mergeCell ref="F10:F12"/>
    <mergeCell ref="G10:Q10"/>
    <mergeCell ref="R10:R11"/>
    <mergeCell ref="S10:S11"/>
    <mergeCell ref="Z10:Z11"/>
    <mergeCell ref="AA10:AA11"/>
    <mergeCell ref="G11:H11"/>
    <mergeCell ref="J11:K11"/>
    <mergeCell ref="L11:M11"/>
    <mergeCell ref="N11:O11"/>
    <mergeCell ref="X10:X11"/>
    <mergeCell ref="Y10:Y11"/>
    <mergeCell ref="P11:Q11"/>
    <mergeCell ref="T10:T11"/>
    <mergeCell ref="U10:U11"/>
    <mergeCell ref="V10:V11"/>
    <mergeCell ref="W10:W11"/>
  </mergeCells>
  <pageMargins left="0.51181102362204722" right="0.31496062992125984" top="0.74803149606299213" bottom="0.74803149606299213" header="0.31496062992125984" footer="0.31496062992125984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 1</vt:lpstr>
      <vt:lpstr>Тиркеме 2 бюджет.</vt:lpstr>
      <vt:lpstr>Тиркеме 3 Спец</vt:lpstr>
      <vt:lpstr>Тиркеме 4 УМС</vt:lpstr>
      <vt:lpstr>'Т 1'!Заголовки_для_печати</vt:lpstr>
      <vt:lpstr>'Тиркеме 2 бюджет.'!Заголовки_для_печати</vt:lpstr>
      <vt:lpstr>'Тиркеме 3 Спец'!Область_печати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2023-10-18T03:32:06Z</cp:lastPrinted>
  <dcterms:created xsi:type="dcterms:W3CDTF">2023-07-26T12:01:36Z</dcterms:created>
  <dcterms:modified xsi:type="dcterms:W3CDTF">2023-10-18T06:57:12Z</dcterms:modified>
</cp:coreProperties>
</file>